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清单" sheetId="5" r:id="rId1"/>
    <sheet name="封面" sheetId="6" r:id="rId2"/>
  </sheets>
  <calcPr calcId="144525"/>
</workbook>
</file>

<file path=xl/sharedStrings.xml><?xml version="1.0" encoding="utf-8"?>
<sst xmlns="http://schemas.openxmlformats.org/spreadsheetml/2006/main" count="322">
  <si>
    <t>云南省滇南中心医院（红河州第一人民医院）
天马路中医诊所改造项目工程量清单</t>
  </si>
  <si>
    <t>定额组价</t>
  </si>
  <si>
    <t>序号</t>
  </si>
  <si>
    <t>项目名称</t>
  </si>
  <si>
    <t>项目特征描述（做法）</t>
  </si>
  <si>
    <t>计量单位</t>
  </si>
  <si>
    <t>工程量</t>
  </si>
  <si>
    <t>单价</t>
  </si>
  <si>
    <t>合价/元</t>
  </si>
  <si>
    <t>定额编号</t>
  </si>
  <si>
    <t>人工费</t>
  </si>
  <si>
    <t>材料费</t>
  </si>
  <si>
    <t>机械费</t>
  </si>
  <si>
    <t>管理费=（定额人工费+机械费*8%）*22.78</t>
  </si>
  <si>
    <t>利润=（定额人工费+机械费*8%）*13.81%</t>
  </si>
  <si>
    <t>风险费=（人工费+材料费+机械费+管理费+利润）*约定费率13.5%</t>
  </si>
  <si>
    <t>规费=人工费*20%</t>
  </si>
  <si>
    <t>措施费=（定额人工费+机械费*8%）*18.04%</t>
  </si>
  <si>
    <t>税金=9%*（1+12%）</t>
  </si>
  <si>
    <t>合计</t>
  </si>
  <si>
    <t>总合计</t>
  </si>
  <si>
    <t>一</t>
  </si>
  <si>
    <t>室外改造</t>
  </si>
  <si>
    <t>合    计</t>
  </si>
  <si>
    <t>元</t>
  </si>
  <si>
    <t>屋顶拆除</t>
  </si>
  <si>
    <t>1.名称:屋顶拆除
2.工作内容:屋面高度5.5m，搭设脚手架、拆除骨架、面层，控制扬尘，废弃材料清理归堆，建筑垃圾外运，运距13km</t>
  </si>
  <si>
    <t>㎡</t>
  </si>
  <si>
    <t>1-16-60</t>
  </si>
  <si>
    <t>1-18-35</t>
  </si>
  <si>
    <t>脚手架</t>
  </si>
  <si>
    <t>按照相关规定</t>
  </si>
  <si>
    <t>垃圾外运</t>
  </si>
  <si>
    <t>拆除地面砖</t>
  </si>
  <si>
    <t>1.名称:地面砖拆除
2.工作内容:控制扬尘、拆除地面砖，拆除建筑垃圾搬运至室外集中堆放，垃圾外运，运距13km</t>
  </si>
  <si>
    <t>1-16-44</t>
  </si>
  <si>
    <t>拆除</t>
  </si>
  <si>
    <t>市场</t>
  </si>
  <si>
    <t>1-16-96</t>
  </si>
  <si>
    <t>人工运输垃圾</t>
  </si>
  <si>
    <t>混凝土垫层</t>
  </si>
  <si>
    <t>1.名称:混凝土垫层
2.部位:路基
3.工作内容：浇筑、振捣、养护等。
4.混凝土标号:C25，人工现场拌制混凝土</t>
  </si>
  <si>
    <t>m³</t>
  </si>
  <si>
    <t>1-5-162</t>
  </si>
  <si>
    <t>现场拌制混凝土调整</t>
  </si>
  <si>
    <t>环氧树脂地坪漆</t>
  </si>
  <si>
    <t>1.品牌及规格：环氧树脂地坪漆，防火A 级。 2.工作内容：水泥基自流平找平，厚度5mm，涂刷环氧树脂漆三遍，清理建筑垃圾</t>
  </si>
  <si>
    <t>1-11-29+1-11-30</t>
  </si>
  <si>
    <t>二</t>
  </si>
  <si>
    <t>门窗改造</t>
  </si>
  <si>
    <t>合   计</t>
  </si>
  <si>
    <t>拆除原旧窗</t>
  </si>
  <si>
    <t>1.名称:窗拆除
2.工作内容：窗及窗扇拆除、废料归堆</t>
  </si>
  <si>
    <t>樘</t>
  </si>
  <si>
    <t>1-16-75</t>
  </si>
  <si>
    <t>1-16-165</t>
  </si>
  <si>
    <t>人工运输</t>
  </si>
  <si>
    <t>拆除原旧门</t>
  </si>
  <si>
    <t>1.名称:门拆除
2.工作内容：室内门及门扇拆除、废料归堆</t>
  </si>
  <si>
    <t>拆除防盗栏</t>
  </si>
  <si>
    <t>1-16-75代</t>
  </si>
  <si>
    <t>1-16-165代</t>
  </si>
  <si>
    <t>铝合金窗安装</t>
  </si>
  <si>
    <t xml:space="preserve">1.名称:铝合金窗
2.工作内容：包括定位弹线、选料下料、安装框、扇、五金及周边柔性填充等。
</t>
  </si>
  <si>
    <t>1-16-208代换</t>
  </si>
  <si>
    <t>玻璃运输</t>
  </si>
  <si>
    <t>普通钢质门安装</t>
  </si>
  <si>
    <t xml:space="preserve">1.名称:普通钢质门安装
2.工作内容：包括框、扇、五金及周边塞缝等。
</t>
  </si>
  <si>
    <t>运输门</t>
  </si>
  <si>
    <t>1-8-13换</t>
  </si>
  <si>
    <t>钢质门</t>
  </si>
  <si>
    <t>不锈钢防盗格栅窗安装</t>
  </si>
  <si>
    <t xml:space="preserve">1.名称：不锈钢防盗格栅窗安装    
2.部位:外窗
3.工作内容：人工运输脚手架及材料，运距290m，室外高6.6m，搭设脚手架，打眼剔洞、格栅安装等
4.尺寸:综合
</t>
  </si>
  <si>
    <t>门锁更换</t>
  </si>
  <si>
    <t xml:space="preserve">拆除原损坏锁，更换新锁          </t>
  </si>
  <si>
    <t>套</t>
  </si>
  <si>
    <t>1-8-101代+1-8-101换</t>
  </si>
  <si>
    <t>拆除锁具及安装锁</t>
  </si>
  <si>
    <t>钢化玻璃手动门制安</t>
  </si>
  <si>
    <t xml:space="preserve">1.名称：钢化玻璃门
2.部位:内墙
3.工作内容：人工运输材料，运距235m，采用铝合金隔热断桥推开门，1.0cm厚钢化玻璃，贴磨砂玻璃膜，含框、扇、五金等安装
</t>
  </si>
  <si>
    <t>1-16-208+（1-16-209）*10.75换</t>
  </si>
  <si>
    <t>材料运输</t>
  </si>
  <si>
    <t>窗锁更换</t>
  </si>
  <si>
    <t xml:space="preserve">拆除原损坏锁，更换新锁             </t>
  </si>
  <si>
    <t>1-8-103代+1-8-103换</t>
  </si>
  <si>
    <t>铝合金窗修复</t>
  </si>
  <si>
    <t xml:space="preserve">1.名称:铝合金窗修复
2.工作内容：包括框、扇、玻璃压条及周边打胶塞缝。
</t>
  </si>
  <si>
    <t>包干价</t>
  </si>
  <si>
    <t>木门制安</t>
  </si>
  <si>
    <t>工作内容：门扇安装、合页安装，门框安装及周边塞缝等</t>
  </si>
  <si>
    <t>室内木门修复</t>
  </si>
  <si>
    <t xml:space="preserve">1.名称:室内木门修复
2.工作内容：包括框、扇、压条及周边油漆修复，包含清扫、打磨、补嵌腻子、刷底漆一遍、调和漆二遍、瓷漆一遍等。
</t>
  </si>
  <si>
    <t>1-14-19</t>
  </si>
  <si>
    <t>三</t>
  </si>
  <si>
    <t>室内拆除</t>
  </si>
  <si>
    <t>轻质隔墙拆除</t>
  </si>
  <si>
    <t>1.名称:轻质隔墙拆除
2.工作内容:层高3.6m,人工运输脚手架，包含搭设脚手架、拆除隔墙，拆除建筑垃圾搬运至室外集中堆放，垃圾外运，运距13km</t>
  </si>
  <si>
    <t>1-18-34</t>
  </si>
  <si>
    <t>1-16-9</t>
  </si>
  <si>
    <t>拆除隔墙</t>
  </si>
  <si>
    <t>1-16-92</t>
  </si>
  <si>
    <t>垃圾人工运输</t>
  </si>
  <si>
    <t>拆除砖墙</t>
  </si>
  <si>
    <t>1.名称:砖砌体拆除
2.工作内容:层高3.6m,人工运输脚手架，包含搭设脚手架、拆除砖墙，拆除建筑垃圾搬运至室外集中堆放，垃圾外运运距13km</t>
  </si>
  <si>
    <t>1-16-2</t>
  </si>
  <si>
    <t>砌体拆除</t>
  </si>
  <si>
    <t>垃圾运输</t>
  </si>
  <si>
    <t>拆除墙砖</t>
  </si>
  <si>
    <t>1.名称:墙砖拆除
2.工作内容:层高3.6m,人工运输脚手架，包含搭设脚手架、拆除内墙砖，拆除建筑垃圾搬运至室外集中堆放，垃圾外运，运距13km</t>
  </si>
  <si>
    <t>1-16-50</t>
  </si>
  <si>
    <t>内墙墙面面层铲除</t>
  </si>
  <si>
    <t>1.名称:内墙墙面拆除
2.工作内容:层高3.6m,人工运输脚手架，包含搭设脚手架、铲除内墙墙面面层，拆除建筑垃圾搬运至室外集中堆放</t>
  </si>
  <si>
    <t>1-16-66</t>
  </si>
  <si>
    <t>拆除吊顶</t>
  </si>
  <si>
    <t>1.名称:吊顶拆除
2.工作内容:控制扬尘、拆除吊顶，拆除建筑垃圾搬运至室外集中堆放，垃圾外运，运距13km</t>
  </si>
  <si>
    <t>1-16-59</t>
  </si>
  <si>
    <t>零星拆除</t>
  </si>
  <si>
    <t>1.名称:零星拆除
2.工作内容:零星项目拆除（含宣传标识标牌、楼梯木地板、水电），拆除建筑垃圾搬运至室外集中堆放</t>
  </si>
  <si>
    <t>项</t>
  </si>
  <si>
    <t>四</t>
  </si>
  <si>
    <t>室内改造</t>
  </si>
  <si>
    <t>轻质隔墙基层轻钢龙骨</t>
  </si>
  <si>
    <t xml:space="preserve">1.名称:轻钢龙骨
2.部位:墙板
3.工作内容：人工运输脚手架及材料运输，运距20m，层高：4.5m，搭设脚手架，轻钢龙骨骨架，75*50轻钢龙骨，基层清理、定位、弹线、钻眼、安装膨胀螺丝、安装龙骨
</t>
  </si>
  <si>
    <t>1-16-192代</t>
  </si>
  <si>
    <t>1-12-134</t>
  </si>
  <si>
    <t>轻质隔墙石膏板面层</t>
  </si>
  <si>
    <t xml:space="preserve">1.名称：轻质隔墙石膏板面层
2.部位:内墙
3.工作内容：人工运输脚手架及材料运输，运距235m，层高：4.5m，搭设脚手架，九厘板胶合板基层固定于轻钢龙骨上，石膏板面层封面。
</t>
  </si>
  <si>
    <t>1-12-140+1-12-154</t>
  </si>
  <si>
    <t>一层抗倍特板隔断墙面</t>
  </si>
  <si>
    <t xml:space="preserve">1.名称：抗倍特板面层
2.部位:内墙
3.工作内容：人工运输脚手架及材料运输，运距20m，层高：4.5m，搭设脚手架，九厘板胶合板基层固定于轻钢龙骨上，5mm厚抗倍特板面层封面
</t>
  </si>
  <si>
    <t>1-12-140+1-12-171（代换）</t>
  </si>
  <si>
    <t>踢脚线</t>
  </si>
  <si>
    <t xml:space="preserve">1.名称：玻璃地砖踢脚线
2.部位:内墙
3.工作内容：人工运输材料，运距20m，清理基层、底层抹灰、面层铺贴、净面
</t>
  </si>
  <si>
    <t>1-16-212</t>
  </si>
  <si>
    <t>1-15-46</t>
  </si>
  <si>
    <t>不锈钢</t>
  </si>
  <si>
    <t>1-15-29</t>
  </si>
  <si>
    <t>九厘板基层</t>
  </si>
  <si>
    <t>地砖更换修复</t>
  </si>
  <si>
    <t>1.品牌及规格：一、二线品牌；800*800。            2.工作内容：人工运输材料，运距230m清理基层，更换地砖，勾缝，清理垃圾等</t>
  </si>
  <si>
    <t>1-16-212+（1-16-213）*10.5</t>
  </si>
  <si>
    <t>运输建筑材料</t>
  </si>
  <si>
    <t>1-11-58</t>
  </si>
  <si>
    <t>粘贴地砖</t>
  </si>
  <si>
    <t>内墙墙面涂料</t>
  </si>
  <si>
    <t>1.基层类型:腻子粉
2.工作内容：人工运输脚手架及材料运输，运距235m，层高：4.5m，搭设脚手架，:封底漆1遍，合成树脂乳液2遍</t>
  </si>
  <si>
    <t>1-16-212+（1-16-213）*10.75</t>
  </si>
  <si>
    <t>1-18-68</t>
  </si>
  <si>
    <t>粉饰脚手架</t>
  </si>
  <si>
    <t>1-14-174</t>
  </si>
  <si>
    <t>内墙墙面刮腻子</t>
  </si>
  <si>
    <t>1.基层类型:抹灰
2.工作内容:：人工运输脚手架及材料运输，运距235m，层高：4.5m，搭设脚手架，内墙腻子，三遍成活</t>
  </si>
  <si>
    <t>1-14-211</t>
  </si>
  <si>
    <t>天棚吊顶基层轻钢龙骨</t>
  </si>
  <si>
    <t xml:space="preserve">1.名称:轻钢龙骨
2.部位:天棚
3.工作内容：人工运输脚手架及材料运输，运距20m，层高：3.8m，搭设脚手架，轻钢龙骨骨架，轻钢龙骨TC38，基层清理、定位、弹线、钻眼、安装膨胀螺丝、安装龙骨
</t>
  </si>
  <si>
    <t>1-13-85</t>
  </si>
  <si>
    <t>轻钢龙骨</t>
  </si>
  <si>
    <t>矿棉板吊顶</t>
  </si>
  <si>
    <t>1.矿棉板品牌：Ameisizhuang                             2.工作内容：运输脚手架，运距20m,层高：3.8m，搭设脚手架，安装轻钢龙骨基层，轻钢龙骨Tc38，安装矿棉板顶，矿棉板规格：600*600*18，拆除脚手架清理建筑垃圾</t>
  </si>
  <si>
    <t>里脚手架搭设</t>
  </si>
  <si>
    <t>材料楼层运输</t>
  </si>
  <si>
    <t>1-13-106</t>
  </si>
  <si>
    <t>矿棉板</t>
  </si>
  <si>
    <t>柱、梁铝合金复合板修复</t>
  </si>
  <si>
    <t>1.名称：铝合金复合板修。 2.工作内容：脚手架，层高：3.6m，搭设脚手架，安装面层复合板，板厚度3mm，圾钉压条、拆除脚手架清理建筑垃等</t>
  </si>
  <si>
    <t>1-12-198</t>
  </si>
  <si>
    <t>铝合金复合板</t>
  </si>
  <si>
    <t>防水</t>
  </si>
  <si>
    <t>1.名称：防水
2.工作内容：清理基层、刷基底处理剂、收头等全部过程</t>
  </si>
  <si>
    <t>1-9-58+1-9-60*2</t>
  </si>
  <si>
    <t>楼梯踏步地板修复</t>
  </si>
  <si>
    <t>1.名称：楼梯踏步条形复合地板修复
2.工作内容：拆除损坏复合地板，清理基层、防潮纸、铺设面层等全部过程</t>
  </si>
  <si>
    <t>1-16-46</t>
  </si>
  <si>
    <t>拆除地板</t>
  </si>
  <si>
    <t>陶瓷锦砖修复</t>
  </si>
  <si>
    <t>1.品牌及规格：300*600，厚度为9.5mm                                     2.工作内容：人工运输材料，运距20m,拆除损坏墙砖，清理基层，更换墙砖，勾缝，清理垃圾，建筑垃圾外运，运距13km</t>
  </si>
  <si>
    <t>装饰脚手架</t>
  </si>
  <si>
    <t>1-12-76</t>
  </si>
  <si>
    <t>粘贴墙砖</t>
  </si>
  <si>
    <t>零星砖砌体</t>
  </si>
  <si>
    <t>1.名称：零星砖砌体
2.工作内容：人工运输材料，运距20m,搭设脚手架、清理基层，调运砂浆，运砖、砌砖、砍砖，砌砖等</t>
  </si>
  <si>
    <t>1-16-100</t>
  </si>
  <si>
    <t>运输材料</t>
  </si>
  <si>
    <t>砌砖</t>
  </si>
  <si>
    <t>彩钢夹芯板屋面</t>
  </si>
  <si>
    <t>1.名称：彩钢夹芯板屋面
2.工作内容：人工运输材料，运距20m,搭设脚手架、截料，制作安装铁件，吊装安装屋面板等</t>
  </si>
  <si>
    <t>1-16-121</t>
  </si>
  <si>
    <t>彩钢夹芯板</t>
  </si>
  <si>
    <t>零星抹灰</t>
  </si>
  <si>
    <t>1.名称：零星抹灰
2.工作内容：人工运输材料，运距20m,搭设脚手架、清理基层，修补堵眼，湿润基层、调运砂浆，清扫落地灰、分层找平、压光等</t>
  </si>
  <si>
    <t>1-16-141</t>
  </si>
  <si>
    <t>抹灰</t>
  </si>
  <si>
    <t>五</t>
  </si>
  <si>
    <t>化粪池</t>
  </si>
  <si>
    <t>机械挖基坑</t>
  </si>
  <si>
    <t xml:space="preserve">1.名称：机械挖基坑
2.工作内容：挖土、弃土于5m内或装土、清理机下余土、人工清底修边等，土方外运，运距13km。
</t>
  </si>
  <si>
    <t>人工挖石渣</t>
  </si>
  <si>
    <t>1-1-114</t>
  </si>
  <si>
    <t>渣土运输</t>
  </si>
  <si>
    <t>1-1-115换*25.8</t>
  </si>
  <si>
    <t>人工拆除现浇混凝土</t>
  </si>
  <si>
    <t>1.名称:人工拆除现浇混凝土                   2.工作内容：钢筋混凝土拆除、控制扬尘，废渣清理归堆，垃圾外运，运距13km</t>
  </si>
  <si>
    <t>1-16-20代</t>
  </si>
  <si>
    <t>砂垫层</t>
  </si>
  <si>
    <t>1.名称:砂垫层                          2.工作内容：人工运输砂，运距20m，拌合、铺设垫层、找平压实等</t>
  </si>
  <si>
    <t>1-16-98</t>
  </si>
  <si>
    <t>钢筋</t>
  </si>
  <si>
    <t>井盖</t>
  </si>
  <si>
    <t>1.名称:井盖
2.规格、等级:承压等级D400KN
3.部位:井、池
4.材质:铸铁φ700</t>
  </si>
  <si>
    <t>1-17-58</t>
  </si>
  <si>
    <t>塑料井</t>
  </si>
  <si>
    <t>1.名称：塑料井φ700安装                   2.工作内容：井座安装，与管道连接等</t>
  </si>
  <si>
    <t>座</t>
  </si>
  <si>
    <t>1-17-72</t>
  </si>
  <si>
    <t>塑料管</t>
  </si>
  <si>
    <t>1.安装部位:室外
2.材质、规格:FRPP增强聚丙烯管DN300
3.介质:污水</t>
  </si>
  <si>
    <t>m</t>
  </si>
  <si>
    <t>2-10-309</t>
  </si>
  <si>
    <t>化粪池安装</t>
  </si>
  <si>
    <t>1.材质:玻璃钢化粪池
2.工作内容:吊装、就位、安装、与管道连接等
3.规格、尺寸:直径1.2，长度3.4m，壁厚1.5cm,体积5m³以内</t>
  </si>
  <si>
    <t>1-17-76</t>
  </si>
  <si>
    <t>六</t>
  </si>
  <si>
    <t>水电改造</t>
  </si>
  <si>
    <t>线管敷设</t>
  </si>
  <si>
    <t>1.名称:穿线管
2.规格型号:PVC联塑DN25
3.工作内容:人工运输脚手架及材料，运距290m，层高4.5m，搭设脚手架，测位、划线、接管、配管、固定、穿引线</t>
  </si>
  <si>
    <t>1-18-68代换</t>
  </si>
  <si>
    <t>2-4-1654</t>
  </si>
  <si>
    <t>1.名称:穿线管
2.材质:PVC
3.规格:DN20mm
4.配置形式:暗配</t>
  </si>
  <si>
    <t>2-4-1653</t>
  </si>
  <si>
    <t>阻燃电线敷设</t>
  </si>
  <si>
    <t>1.名称:管内穿线
2.型号:WDZCN-BYJ
3.规格:4mm2</t>
  </si>
  <si>
    <t>2-4-1751</t>
  </si>
  <si>
    <t>1.名称:管内穿线
2.型号:WDZCN-BYJ
3.规格:1.5mm2</t>
  </si>
  <si>
    <t>2-4-1749</t>
  </si>
  <si>
    <t>1.名称:管内穿线
2.型号:WDZCN-BYJ
3.规格:2.5mm2</t>
  </si>
  <si>
    <t>2-4-1750</t>
  </si>
  <si>
    <t>1.名称:管内穿线
2.型号:WDZCN-BYJ
3.规格:6mm2</t>
  </si>
  <si>
    <t>2-4-1769</t>
  </si>
  <si>
    <t>配电柜</t>
  </si>
  <si>
    <t>1.名称：低压成套配电柜
2.工作内容：开箱清点检查、就位、找正、就位、固定、柜间连接、开关及机构调整、接地、单挑调试等</t>
  </si>
  <si>
    <t>2-4-120</t>
  </si>
  <si>
    <t>开关</t>
  </si>
  <si>
    <t>1.名称:开关
2.材质:86型金属底盒，单联开关
3.配置形式:暗配</t>
  </si>
  <si>
    <t>个</t>
  </si>
  <si>
    <t>2-4-2358</t>
  </si>
  <si>
    <t>LED灯盘光通量</t>
  </si>
  <si>
    <t>1.名称:LED灯
2.规格:600*600
3.安装形式:嵌顶安装</t>
  </si>
  <si>
    <t>1-18-68换</t>
  </si>
  <si>
    <t>2-4-1931</t>
  </si>
  <si>
    <t>插座</t>
  </si>
  <si>
    <t>1.名称:插座
2.材质:86型金属底盒，视贝五孔插座，10A220V
3.配置形式:暗配</t>
  </si>
  <si>
    <t>2-4-2344</t>
  </si>
  <si>
    <t>给水管安装</t>
  </si>
  <si>
    <t>1.名称:PPRDN32冷水给水管
2.材质:联塑管，含配件
3.形式:热熔                               4.工作内容：人工运输脚手架及材料，运距270m，层高4.5m，搭设脚手架，拆除矿棉板吊顶，安装给水管</t>
  </si>
  <si>
    <t>搭设脚手架</t>
  </si>
  <si>
    <t>2-10-357</t>
  </si>
  <si>
    <t>给水管</t>
  </si>
  <si>
    <t>1.名称:PPRDN20冷水管给水管
2.材质:联塑管，含配件
3.形式:热熔                              4.工作内容：人工运输脚手架及材料，运距270m，层高4.5m，搭设脚手架，拆除矿棉板吊顶，安装给水管，恢复矿棉板吊顶</t>
  </si>
  <si>
    <t>2-10-333</t>
  </si>
  <si>
    <t>1.名称:PPRDN50冷水给水管
2.材质:联塑管，含配件
3.形式:热熔                               4.工作内容：人工运输脚手架及材料，运距270m，层高4.5m，搭设脚手架，拆除矿棉板吊顶，安装给水管</t>
  </si>
  <si>
    <t>阀门安装</t>
  </si>
  <si>
    <t>1.名称:阀门安装
2.材质:DN20PPR联塑，
3.形式:热熔</t>
  </si>
  <si>
    <t>2-10-577</t>
  </si>
  <si>
    <t>1.名称:阀门安装
2.材质:DN32铜球阀
3.形式:熔接</t>
  </si>
  <si>
    <t>2-10-579</t>
  </si>
  <si>
    <t>洗脸盆</t>
  </si>
  <si>
    <t>1.名称:洗脸盆
2.材质:陶瓷
3.形式:台式                           4.工作内容：人工运输材料及垃圾，运距270m，安装新洗脸盆及配件</t>
  </si>
  <si>
    <t>2-10-973</t>
  </si>
  <si>
    <t>蹲便器安装</t>
  </si>
  <si>
    <t>1.名称:蹲便器
2.材质:陶瓷
3.工作内容：人工运输材料及垃圾，运距270m，安装新洗脸盆及配件</t>
  </si>
  <si>
    <t>1-16-212+1</t>
  </si>
  <si>
    <t>成套淋浴器安装</t>
  </si>
  <si>
    <t xml:space="preserve">1.名称:淋浴器
2.部位:公共浴室
3.工作内容：人工运输材料，运距20m，成套淋浴器安装、接管试水等
</t>
  </si>
  <si>
    <t>2-10-1012换</t>
  </si>
  <si>
    <t>热给水管安装</t>
  </si>
  <si>
    <t xml:space="preserve">1.名称:联塑PPR热水管
2.规格形式:DN20   热熔
3.工作内容：安装PPR管热水管
</t>
  </si>
  <si>
    <t>2-10-334换</t>
  </si>
  <si>
    <t>热水管</t>
  </si>
  <si>
    <t>排水管安装</t>
  </si>
  <si>
    <t>1.名称:pvc¢50排水管
2.材质:联塑PVC管
3.形式:粘接                            4.工作内容：人工运输脚手架及材料，运距270m，层高3.6m，搭设脚手架，安装给水管</t>
  </si>
  <si>
    <t>2-10-375</t>
  </si>
  <si>
    <t>1.名称:pvc¢110排水管
2.材质:联塑PVC管
3.形式:粘接                             4.工作内容：人工运输脚手架及材料，运距270m，层高3.6m，搭设脚手架，安装给水管</t>
  </si>
  <si>
    <t>2-10-377</t>
  </si>
  <si>
    <t>排水管</t>
  </si>
  <si>
    <t>1.名称:pvc¢75排水管
2.材质:联塑PVC管
3.形式:粘接</t>
  </si>
  <si>
    <t>2-10-376</t>
  </si>
  <si>
    <t>不锈钢阀门安装</t>
  </si>
  <si>
    <t>1.名称:阀门安装
2.材质:DN20不锈钢管，
3.形式:螺纹</t>
  </si>
  <si>
    <t>2-10-486</t>
  </si>
  <si>
    <t>钻孔</t>
  </si>
  <si>
    <t>1.部位：砼板面，2.孔径：63mm，3.基层清理，4.钻孔，5.安全文明维护及成品保护</t>
  </si>
  <si>
    <t>2-10-2244</t>
  </si>
  <si>
    <t>堵补洞</t>
  </si>
  <si>
    <t>1.名称：堵补洞，2.孔径：65mm，3.工作内容：制作模具、清理、调制、填塞砂浆、找平、养护等，4.安全文明维护及成品保护</t>
  </si>
  <si>
    <t>2-10-2276</t>
  </si>
  <si>
    <t>洗手盆镜片</t>
  </si>
  <si>
    <t>1.名称:洗手盆镜片
2.部位:洗手盆
3.工作内容：铺设油毡、木筋制作安装、钉基层板、镜面玻璃裁割、安装固定角铝、清理等
4.尺寸:综合</t>
  </si>
  <si>
    <t>1-15-127</t>
  </si>
  <si>
    <t>地漏改造</t>
  </si>
  <si>
    <t>1.名称:不锈钢防臭地漏                             2.工作内容：清理基层，定位，安装DN50不锈钢防臭地漏，清理垃圾</t>
  </si>
  <si>
    <t>2-10-1042</t>
  </si>
  <si>
    <t>地漏</t>
  </si>
  <si>
    <t>七</t>
  </si>
  <si>
    <t>暂列金额</t>
  </si>
  <si>
    <t>1.名称:暂列金：60000.00元
2.用于该项目未列入清单内的改造项目</t>
  </si>
  <si>
    <t>八</t>
  </si>
  <si>
    <t>以上总合计</t>
  </si>
  <si>
    <t>一+二+三+四……+七</t>
  </si>
  <si>
    <t>说明：此费用不含污水处理设备、弱电、消防及空调、家具窗帘等费用，本项目包括：一、天井部分的拆除；二、门窗含增加已拆除的门和铝合金窗，更换防盗栏、修复门窗锁具、修复已损坏的门窗；三、拆除已损坏的墙面层、墙砖、地砖等并修复；四、室内改造：含相关的拆除、室内轻质隔墙制作安装、内墙修复、地面修复、顶板修复等项目；五、增加污水处理化粪池、投放药物的井、排污管道等；六、水电改造等</t>
  </si>
  <si>
    <t xml:space="preserve">云南省滇南中心医院(红河哈尼族彝族自治州第一人民医院)                     </t>
  </si>
  <si>
    <t>建设单位：</t>
  </si>
  <si>
    <t>云南省滇南中心医院（红河哈尼族彝族自治州第一人民医院）</t>
  </si>
  <si>
    <t>投资金额:</t>
  </si>
  <si>
    <t>工程名称：</t>
  </si>
  <si>
    <t>九龙医院项目改造工程</t>
  </si>
  <si>
    <t>概算金额:</t>
  </si>
  <si>
    <t>施工地点:</t>
  </si>
  <si>
    <t>个旧市锡缘路1号</t>
  </si>
  <si>
    <t>单位：</t>
  </si>
  <si>
    <t>(盖章)</t>
  </si>
  <si>
    <t xml:space="preserve">项目负责人: </t>
  </si>
  <si>
    <t>日期: 2026年 2 月</t>
  </si>
</sst>
</file>

<file path=xl/styles.xml><?xml version="1.0" encoding="utf-8"?>
<styleSheet xmlns="http://schemas.openxmlformats.org/spreadsheetml/2006/main" xmlns:xr9="http://schemas.microsoft.com/office/spreadsheetml/2016/revision9">
  <numFmts count="19">
    <numFmt numFmtId="176" formatCode="\1\-\1\1\-\3"/>
    <numFmt numFmtId="177" formatCode="\1\-\9\-\2\2"/>
    <numFmt numFmtId="178" formatCode="\1\-\4\-\2\5"/>
    <numFmt numFmtId="179" formatCode="\1\-\8\-\1"/>
    <numFmt numFmtId="180" formatCode="\1\-\8\-\2\1"/>
    <numFmt numFmtId="181" formatCode="0.00_);[Red]\(0.00\)"/>
    <numFmt numFmtId="182" formatCode="0\-0\-00"/>
    <numFmt numFmtId="183" formatCode="0.00_ "/>
    <numFmt numFmtId="42" formatCode="_ &quot;￥&quot;* #,##0_ ;_ &quot;￥&quot;* \-#,##0_ ;_ &quot;￥&quot;* &quot;-&quot;_ ;_ @_ "/>
    <numFmt numFmtId="184" formatCode="\1\-\8\-\2\4"/>
    <numFmt numFmtId="185" formatCode="\1\-\1\-\2\3"/>
    <numFmt numFmtId="44" formatCode="_ &quot;￥&quot;* #,##0.00_ ;_ &quot;￥&quot;* \-#,##0.00_ ;_ &quot;￥&quot;* &quot;-&quot;??_ ;_ @_ "/>
    <numFmt numFmtId="186" formatCode="\1\-\5\-\1"/>
    <numFmt numFmtId="41" formatCode="_ * #,##0_ ;_ * \-#,##0_ ;_ * &quot;-&quot;_ ;_ @_ "/>
    <numFmt numFmtId="187" formatCode="0.0000_ "/>
    <numFmt numFmtId="43" formatCode="_ * #,##0.00_ ;_ * \-#,##0.00_ ;_ * &quot;-&quot;??_ ;_ @_ "/>
    <numFmt numFmtId="188" formatCode="#,##0.00_ "/>
    <numFmt numFmtId="189" formatCode="\1\-\1\2\-\7"/>
    <numFmt numFmtId="190" formatCode="\1\-\1\2\-\1"/>
  </numFmts>
  <fonts count="49">
    <font>
      <sz val="11"/>
      <color theme="1"/>
      <name val="宋体"/>
      <charset val="134"/>
      <scheme val="minor"/>
    </font>
    <font>
      <b/>
      <sz val="18"/>
      <name val="仿宋_GB2312"/>
      <charset val="134"/>
    </font>
    <font>
      <sz val="12"/>
      <name val="宋体"/>
      <charset val="134"/>
    </font>
    <font>
      <b/>
      <sz val="18"/>
      <name val="黑体"/>
      <charset val="134"/>
    </font>
    <font>
      <sz val="14"/>
      <name val="仿宋_GB2312"/>
      <charset val="134"/>
    </font>
    <font>
      <sz val="14"/>
      <color indexed="8"/>
      <name val="仿宋_GB2312"/>
      <charset val="134"/>
    </font>
    <font>
      <sz val="16"/>
      <name val="仿宋_GB2312"/>
      <charset val="134"/>
    </font>
    <font>
      <b/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b/>
      <sz val="14"/>
      <name val="仿宋_GB2312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宋体"/>
      <charset val="134"/>
      <scheme val="minor"/>
    </font>
    <font>
      <b/>
      <sz val="20"/>
      <name val="宋体"/>
      <charset val="134"/>
      <scheme val="minor"/>
    </font>
    <font>
      <b/>
      <sz val="9"/>
      <name val="宋体"/>
      <charset val="134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9"/>
      <color theme="1"/>
      <name val="宋体"/>
      <charset val="134"/>
    </font>
    <font>
      <sz val="9"/>
      <color indexed="0"/>
      <name val="宋体"/>
      <charset val="134"/>
    </font>
    <font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1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 applyBorder="0">
      <alignment vertical="center"/>
    </xf>
    <xf numFmtId="0" fontId="14" fillId="0" borderId="0" applyBorder="0"/>
    <xf numFmtId="0" fontId="44" fillId="0" borderId="0" applyBorder="0">
      <alignment vertical="center"/>
    </xf>
    <xf numFmtId="0" fontId="44" fillId="0" borderId="0" applyBorder="0">
      <alignment vertical="center"/>
    </xf>
    <xf numFmtId="0" fontId="0" fillId="0" borderId="0" applyBorder="0">
      <alignment vertical="center"/>
    </xf>
    <xf numFmtId="0" fontId="32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46" fillId="26" borderId="21" applyNumberFormat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2" fillId="9" borderId="21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16" borderId="20" applyNumberFormat="0" applyAlignment="0" applyProtection="0">
      <alignment vertical="center"/>
    </xf>
    <xf numFmtId="0" fontId="33" fillId="9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0" fillId="29" borderId="23" applyNumberFormat="0" applyFon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" fillId="0" borderId="0" applyBorder="0">
      <alignment vertical="center"/>
    </xf>
    <xf numFmtId="0" fontId="32" fillId="1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</cellStyleXfs>
  <cellXfs count="251">
    <xf numFmtId="0" fontId="0" fillId="0" borderId="0" xfId="0">
      <alignment vertical="center"/>
    </xf>
    <xf numFmtId="0" fontId="1" fillId="0" borderId="0" xfId="2" applyFont="1" applyFill="1" applyAlignment="1"/>
    <xf numFmtId="0" fontId="2" fillId="0" borderId="0" xfId="2" applyFont="1" applyFill="1" applyAlignment="1"/>
    <xf numFmtId="0" fontId="3" fillId="0" borderId="0" xfId="2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0" xfId="2" applyFont="1" applyFill="1" applyAlignment="1"/>
    <xf numFmtId="0" fontId="5" fillId="0" borderId="1" xfId="4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left"/>
    </xf>
    <xf numFmtId="0" fontId="6" fillId="0" borderId="0" xfId="2" applyFont="1" applyFill="1" applyAlignment="1">
      <alignment horizontal="center"/>
    </xf>
    <xf numFmtId="0" fontId="1" fillId="0" borderId="0" xfId="2" applyFont="1" applyFill="1" applyAlignment="1">
      <alignment horizontal="center"/>
    </xf>
    <xf numFmtId="0" fontId="1" fillId="0" borderId="0" xfId="2" applyFont="1" applyFill="1" applyAlignment="1">
      <alignment horizontal="right"/>
    </xf>
    <xf numFmtId="183" fontId="7" fillId="0" borderId="1" xfId="2" applyNumberFormat="1" applyFont="1" applyFill="1" applyBorder="1" applyAlignment="1"/>
    <xf numFmtId="0" fontId="8" fillId="0" borderId="0" xfId="2" applyFont="1" applyFill="1" applyAlignment="1"/>
    <xf numFmtId="188" fontId="7" fillId="0" borderId="0" xfId="2" applyNumberFormat="1" applyFont="1" applyFill="1" applyAlignment="1"/>
    <xf numFmtId="0" fontId="9" fillId="0" borderId="0" xfId="2" applyFont="1" applyFill="1" applyAlignment="1">
      <alignment horizontal="right" vertical="top" wrapText="1"/>
    </xf>
    <xf numFmtId="183" fontId="7" fillId="0" borderId="0" xfId="2" applyNumberFormat="1" applyFont="1" applyFill="1" applyAlignment="1"/>
    <xf numFmtId="0" fontId="2" fillId="0" borderId="0" xfId="2" applyFont="1" applyFill="1" applyAlignment="1">
      <alignment horizontal="right"/>
    </xf>
    <xf numFmtId="0" fontId="10" fillId="0" borderId="0" xfId="2" applyFont="1" applyFill="1" applyAlignment="1"/>
    <xf numFmtId="0" fontId="0" fillId="0" borderId="0" xfId="0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183" fontId="0" fillId="0" borderId="0" xfId="0" applyNumberFormat="1" applyFill="1" applyAlignment="1">
      <alignment horizontal="center" vertical="center"/>
    </xf>
    <xf numFmtId="183" fontId="0" fillId="0" borderId="0" xfId="0" applyNumberFormat="1" applyFill="1">
      <alignment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>
      <alignment vertical="center"/>
    </xf>
    <xf numFmtId="183" fontId="14" fillId="0" borderId="0" xfId="0" applyNumberFormat="1" applyFont="1" applyFill="1">
      <alignment vertical="center"/>
    </xf>
    <xf numFmtId="0" fontId="0" fillId="0" borderId="0" xfId="0" applyFill="1">
      <alignment vertical="center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left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1" fillId="0" borderId="3" xfId="4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4" xfId="4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5" xfId="4" applyFont="1" applyFill="1" applyBorder="1" applyAlignment="1">
      <alignment horizontal="center" vertical="center" wrapText="1"/>
    </xf>
    <xf numFmtId="0" fontId="12" fillId="0" borderId="2" xfId="43" applyFont="1" applyFill="1" applyBorder="1" applyAlignment="1">
      <alignment horizontal="center" vertical="center"/>
    </xf>
    <xf numFmtId="0" fontId="18" fillId="0" borderId="2" xfId="3" applyFont="1" applyFill="1" applyBorder="1" applyAlignment="1">
      <alignment horizontal="left" vertical="center" wrapText="1"/>
    </xf>
    <xf numFmtId="0" fontId="19" fillId="0" borderId="2" xfId="3" applyFont="1" applyFill="1" applyBorder="1" applyAlignment="1">
      <alignment horizontal="left" vertical="center" wrapText="1"/>
    </xf>
    <xf numFmtId="0" fontId="11" fillId="0" borderId="2" xfId="4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2" borderId="2" xfId="4" applyFont="1" applyFill="1" applyBorder="1" applyAlignment="1">
      <alignment horizontal="left" vertical="center" wrapText="1"/>
    </xf>
    <xf numFmtId="0" fontId="11" fillId="0" borderId="2" xfId="4" applyFont="1" applyFill="1" applyBorder="1" applyAlignment="1">
      <alignment horizontal="left" vertical="center" wrapText="1"/>
    </xf>
    <xf numFmtId="0" fontId="20" fillId="0" borderId="2" xfId="4" applyFont="1" applyFill="1" applyBorder="1" applyAlignment="1">
      <alignment vertical="center" wrapText="1"/>
    </xf>
    <xf numFmtId="0" fontId="20" fillId="0" borderId="2" xfId="4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20" fillId="0" borderId="2" xfId="4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3" xfId="4" applyFont="1" applyFill="1" applyBorder="1" applyAlignment="1">
      <alignment horizontal="left" vertical="center" wrapText="1"/>
    </xf>
    <xf numFmtId="0" fontId="11" fillId="0" borderId="5" xfId="4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4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3" xfId="4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vertical="center" wrapText="1"/>
    </xf>
    <xf numFmtId="0" fontId="18" fillId="0" borderId="3" xfId="3" applyFont="1" applyFill="1" applyBorder="1" applyAlignment="1">
      <alignment vertical="center" wrapText="1"/>
    </xf>
    <xf numFmtId="0" fontId="12" fillId="0" borderId="2" xfId="4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1" fillId="0" borderId="4" xfId="4" applyFont="1" applyFill="1" applyBorder="1" applyAlignment="1">
      <alignment horizontal="left" vertical="center" wrapText="1"/>
    </xf>
    <xf numFmtId="0" fontId="12" fillId="0" borderId="5" xfId="4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21" fillId="0" borderId="2" xfId="2" applyFont="1" applyFill="1" applyBorder="1" applyAlignment="1">
      <alignment horizontal="left" vertical="center" wrapText="1"/>
    </xf>
    <xf numFmtId="0" fontId="18" fillId="0" borderId="5" xfId="3" applyFont="1" applyFill="1" applyBorder="1" applyAlignment="1">
      <alignment horizontal="left" vertical="center" wrapText="1"/>
    </xf>
    <xf numFmtId="0" fontId="12" fillId="0" borderId="4" xfId="4" applyFont="1" applyFill="1" applyBorder="1" applyAlignment="1">
      <alignment horizontal="center" vertical="center" wrapText="1"/>
    </xf>
    <xf numFmtId="0" fontId="18" fillId="0" borderId="4" xfId="3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/>
    </xf>
    <xf numFmtId="0" fontId="18" fillId="0" borderId="3" xfId="3" applyFont="1" applyFill="1" applyBorder="1" applyAlignment="1">
      <alignment horizontal="left" vertical="center" wrapText="1"/>
    </xf>
    <xf numFmtId="0" fontId="11" fillId="0" borderId="10" xfId="4" applyFont="1" applyFill="1" applyBorder="1" applyAlignment="1">
      <alignment horizontal="center" vertical="center" wrapText="1"/>
    </xf>
    <xf numFmtId="0" fontId="11" fillId="0" borderId="7" xfId="4" applyFont="1" applyFill="1" applyBorder="1" applyAlignment="1">
      <alignment horizontal="center" vertical="center" wrapText="1"/>
    </xf>
    <xf numFmtId="0" fontId="11" fillId="0" borderId="11" xfId="4" applyFont="1" applyFill="1" applyBorder="1" applyAlignment="1">
      <alignment horizontal="center" vertical="center" wrapText="1"/>
    </xf>
    <xf numFmtId="0" fontId="18" fillId="0" borderId="8" xfId="3" applyFont="1" applyFill="1" applyBorder="1" applyAlignment="1">
      <alignment horizontal="left" vertical="center" wrapText="1"/>
    </xf>
    <xf numFmtId="0" fontId="19" fillId="0" borderId="3" xfId="3" applyFont="1" applyFill="1" applyBorder="1" applyAlignment="1">
      <alignment horizontal="left" vertical="center" wrapText="1"/>
    </xf>
    <xf numFmtId="0" fontId="18" fillId="0" borderId="6" xfId="3" applyFont="1" applyFill="1" applyBorder="1" applyAlignment="1">
      <alignment horizontal="left" vertical="center" wrapText="1"/>
    </xf>
    <xf numFmtId="0" fontId="19" fillId="0" borderId="4" xfId="3" applyFont="1" applyFill="1" applyBorder="1" applyAlignment="1">
      <alignment horizontal="left" vertical="center" wrapText="1"/>
    </xf>
    <xf numFmtId="0" fontId="22" fillId="0" borderId="6" xfId="3" applyFont="1" applyFill="1" applyBorder="1" applyAlignment="1">
      <alignment horizontal="left" vertical="center" wrapText="1"/>
    </xf>
    <xf numFmtId="0" fontId="22" fillId="0" borderId="4" xfId="3" applyFont="1" applyFill="1" applyBorder="1" applyAlignment="1">
      <alignment horizontal="left" vertical="center" wrapText="1"/>
    </xf>
    <xf numFmtId="0" fontId="12" fillId="0" borderId="7" xfId="4" applyFont="1" applyFill="1" applyBorder="1" applyAlignment="1">
      <alignment horizontal="center" vertical="center" wrapText="1"/>
    </xf>
    <xf numFmtId="0" fontId="22" fillId="0" borderId="9" xfId="3" applyFont="1" applyFill="1" applyBorder="1" applyAlignment="1">
      <alignment horizontal="left" vertical="center" wrapText="1"/>
    </xf>
    <xf numFmtId="0" fontId="12" fillId="0" borderId="11" xfId="4" applyFont="1" applyFill="1" applyBorder="1" applyAlignment="1">
      <alignment horizontal="center" vertical="center" wrapText="1"/>
    </xf>
    <xf numFmtId="0" fontId="18" fillId="0" borderId="9" xfId="3" applyFont="1" applyFill="1" applyBorder="1" applyAlignment="1">
      <alignment horizontal="left" vertical="center" wrapText="1"/>
    </xf>
    <xf numFmtId="0" fontId="19" fillId="0" borderId="5" xfId="3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1" fillId="0" borderId="8" xfId="4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1" fillId="0" borderId="6" xfId="4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1" fillId="0" borderId="9" xfId="4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183" fontId="16" fillId="2" borderId="0" xfId="0" applyNumberFormat="1" applyFont="1" applyFill="1" applyAlignment="1">
      <alignment horizontal="center" vertical="center"/>
    </xf>
    <xf numFmtId="183" fontId="12" fillId="2" borderId="2" xfId="0" applyNumberFormat="1" applyFont="1" applyFill="1" applyBorder="1" applyAlignment="1">
      <alignment horizontal="center" vertical="center" wrapText="1"/>
    </xf>
    <xf numFmtId="183" fontId="11" fillId="0" borderId="2" xfId="0" applyNumberFormat="1" applyFont="1" applyFill="1" applyBorder="1" applyAlignment="1">
      <alignment horizontal="center" vertical="center"/>
    </xf>
    <xf numFmtId="183" fontId="17" fillId="2" borderId="3" xfId="0" applyNumberFormat="1" applyFont="1" applyFill="1" applyBorder="1" applyAlignment="1">
      <alignment horizontal="center" vertical="center" wrapText="1"/>
    </xf>
    <xf numFmtId="183" fontId="20" fillId="0" borderId="3" xfId="0" applyNumberFormat="1" applyFont="1" applyFill="1" applyBorder="1" applyAlignment="1">
      <alignment horizontal="center" vertical="center"/>
    </xf>
    <xf numFmtId="183" fontId="23" fillId="0" borderId="2" xfId="0" applyNumberFormat="1" applyFont="1" applyFill="1" applyBorder="1" applyAlignment="1">
      <alignment horizontal="center" vertical="center"/>
    </xf>
    <xf numFmtId="183" fontId="12" fillId="0" borderId="3" xfId="1" applyNumberFormat="1" applyFont="1" applyFill="1" applyBorder="1" applyAlignment="1">
      <alignment horizontal="center" vertical="center" wrapText="1"/>
    </xf>
    <xf numFmtId="183" fontId="22" fillId="0" borderId="3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183" fontId="12" fillId="0" borderId="4" xfId="1" applyNumberFormat="1" applyFont="1" applyFill="1" applyBorder="1" applyAlignment="1">
      <alignment horizontal="center" vertical="center" wrapText="1"/>
    </xf>
    <xf numFmtId="183" fontId="22" fillId="0" borderId="4" xfId="0" applyNumberFormat="1" applyFont="1" applyFill="1" applyBorder="1" applyAlignment="1">
      <alignment horizontal="center" vertical="center"/>
    </xf>
    <xf numFmtId="183" fontId="12" fillId="0" borderId="2" xfId="1" applyNumberFormat="1" applyFont="1" applyFill="1" applyBorder="1" applyAlignment="1">
      <alignment horizontal="center" vertical="center" wrapText="1"/>
    </xf>
    <xf numFmtId="183" fontId="22" fillId="0" borderId="2" xfId="0" applyNumberFormat="1" applyFont="1" applyFill="1" applyBorder="1" applyAlignment="1">
      <alignment horizontal="center" vertical="center"/>
    </xf>
    <xf numFmtId="183" fontId="24" fillId="0" borderId="2" xfId="0" applyNumberFormat="1" applyFont="1" applyBorder="1" applyAlignment="1">
      <alignment horizontal="center" vertical="center" wrapText="1"/>
    </xf>
    <xf numFmtId="186" fontId="11" fillId="0" borderId="0" xfId="0" applyNumberFormat="1" applyFont="1" applyFill="1" applyAlignment="1">
      <alignment horizontal="left" vertical="center"/>
    </xf>
    <xf numFmtId="183" fontId="12" fillId="0" borderId="2" xfId="0" applyNumberFormat="1" applyFont="1" applyFill="1" applyBorder="1" applyAlignment="1">
      <alignment horizontal="center" vertical="center" wrapText="1"/>
    </xf>
    <xf numFmtId="183" fontId="24" fillId="0" borderId="2" xfId="0" applyNumberFormat="1" applyFont="1" applyFill="1" applyBorder="1" applyAlignment="1">
      <alignment horizontal="center" vertical="center"/>
    </xf>
    <xf numFmtId="183" fontId="20" fillId="0" borderId="2" xfId="4" applyNumberFormat="1" applyFont="1" applyFill="1" applyBorder="1" applyAlignment="1">
      <alignment vertical="center" wrapText="1"/>
    </xf>
    <xf numFmtId="182" fontId="12" fillId="0" borderId="0" xfId="0" applyNumberFormat="1" applyFont="1" applyFill="1" applyAlignment="1">
      <alignment horizontal="left" vertical="center" wrapText="1"/>
    </xf>
    <xf numFmtId="183" fontId="12" fillId="0" borderId="4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183" fontId="12" fillId="0" borderId="5" xfId="0" applyNumberFormat="1" applyFont="1" applyFill="1" applyBorder="1" applyAlignment="1">
      <alignment horizontal="center" vertical="center" wrapText="1"/>
    </xf>
    <xf numFmtId="183" fontId="24" fillId="0" borderId="3" xfId="0" applyNumberFormat="1" applyFont="1" applyBorder="1" applyAlignment="1">
      <alignment horizontal="center" vertical="center" wrapText="1"/>
    </xf>
    <xf numFmtId="183" fontId="24" fillId="0" borderId="5" xfId="0" applyNumberFormat="1" applyFont="1" applyBorder="1" applyAlignment="1">
      <alignment horizontal="center" vertical="center" wrapText="1"/>
    </xf>
    <xf numFmtId="184" fontId="12" fillId="0" borderId="0" xfId="0" applyNumberFormat="1" applyFont="1" applyFill="1" applyAlignment="1">
      <alignment horizontal="left" vertical="center" wrapText="1"/>
    </xf>
    <xf numFmtId="183" fontId="24" fillId="0" borderId="6" xfId="0" applyNumberFormat="1" applyFont="1" applyBorder="1" applyAlignment="1">
      <alignment horizontal="center" vertical="center" wrapText="1"/>
    </xf>
    <xf numFmtId="183" fontId="11" fillId="0" borderId="4" xfId="0" applyNumberFormat="1" applyFont="1" applyFill="1" applyBorder="1" applyAlignment="1">
      <alignment horizontal="center" vertical="center"/>
    </xf>
    <xf numFmtId="183" fontId="24" fillId="0" borderId="9" xfId="0" applyNumberFormat="1" applyFont="1" applyBorder="1" applyAlignment="1">
      <alignment horizontal="center" vertical="center" wrapText="1"/>
    </xf>
    <xf numFmtId="183" fontId="22" fillId="0" borderId="5" xfId="0" applyNumberFormat="1" applyFont="1" applyFill="1" applyBorder="1" applyAlignment="1">
      <alignment horizontal="center" vertical="center"/>
    </xf>
    <xf numFmtId="183" fontId="11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183" fontId="12" fillId="0" borderId="3" xfId="0" applyNumberFormat="1" applyFont="1" applyFill="1" applyBorder="1" applyAlignment="1">
      <alignment horizontal="center" vertical="center" wrapText="1"/>
    </xf>
    <xf numFmtId="183" fontId="22" fillId="0" borderId="3" xfId="0" applyNumberFormat="1" applyFont="1" applyFill="1" applyBorder="1" applyAlignment="1">
      <alignment vertical="center"/>
    </xf>
    <xf numFmtId="183" fontId="22" fillId="0" borderId="2" xfId="0" applyNumberFormat="1" applyFont="1" applyFill="1" applyBorder="1" applyAlignment="1">
      <alignment vertical="center"/>
    </xf>
    <xf numFmtId="183" fontId="11" fillId="0" borderId="2" xfId="4" applyNumberFormat="1" applyFont="1" applyFill="1" applyBorder="1" applyAlignment="1">
      <alignment horizontal="center" vertical="center" wrapText="1"/>
    </xf>
    <xf numFmtId="181" fontId="12" fillId="0" borderId="3" xfId="4" applyNumberFormat="1" applyFont="1" applyFill="1" applyBorder="1" applyAlignment="1">
      <alignment horizontal="center" vertical="center" wrapText="1"/>
    </xf>
    <xf numFmtId="181" fontId="12" fillId="0" borderId="5" xfId="4" applyNumberFormat="1" applyFont="1" applyFill="1" applyBorder="1" applyAlignment="1">
      <alignment horizontal="center" vertical="center" wrapText="1"/>
    </xf>
    <xf numFmtId="180" fontId="12" fillId="0" borderId="0" xfId="0" applyNumberFormat="1" applyFont="1" applyFill="1" applyAlignment="1">
      <alignment horizontal="left" vertical="center" wrapText="1"/>
    </xf>
    <xf numFmtId="179" fontId="12" fillId="0" borderId="0" xfId="0" applyNumberFormat="1" applyFont="1" applyFill="1" applyAlignment="1">
      <alignment horizontal="left" vertical="center" wrapText="1"/>
    </xf>
    <xf numFmtId="183" fontId="12" fillId="0" borderId="5" xfId="1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183" fontId="14" fillId="0" borderId="0" xfId="0" applyNumberFormat="1" applyFont="1" applyFill="1" applyAlignment="1">
      <alignment vertical="center"/>
    </xf>
    <xf numFmtId="183" fontId="11" fillId="0" borderId="0" xfId="0" applyNumberFormat="1" applyFont="1" applyFill="1" applyAlignment="1">
      <alignment vertical="center"/>
    </xf>
    <xf numFmtId="183" fontId="11" fillId="0" borderId="0" xfId="0" applyNumberFormat="1" applyFont="1" applyFill="1" applyAlignment="1">
      <alignment vertical="center" wrapText="1"/>
    </xf>
    <xf numFmtId="183" fontId="12" fillId="0" borderId="0" xfId="0" applyNumberFormat="1" applyFont="1" applyFill="1" applyAlignment="1">
      <alignment vertical="center"/>
    </xf>
    <xf numFmtId="183" fontId="22" fillId="0" borderId="0" xfId="0" applyNumberFormat="1" applyFont="1" applyFill="1" applyAlignment="1">
      <alignment vertical="center"/>
    </xf>
    <xf numFmtId="187" fontId="11" fillId="0" borderId="0" xfId="0" applyNumberFormat="1" applyFont="1" applyFill="1" applyAlignment="1">
      <alignment horizontal="center" vertical="center"/>
    </xf>
    <xf numFmtId="187" fontId="12" fillId="0" borderId="0" xfId="0" applyNumberFormat="1" applyFont="1" applyFill="1" applyAlignment="1">
      <alignment vertical="center"/>
    </xf>
    <xf numFmtId="0" fontId="22" fillId="0" borderId="0" xfId="0" applyFont="1" applyFill="1" applyAlignment="1">
      <alignment vertical="center"/>
    </xf>
    <xf numFmtId="183" fontId="11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83" fontId="0" fillId="0" borderId="0" xfId="0" applyNumberFormat="1" applyFill="1" applyAlignment="1">
      <alignment vertical="center"/>
    </xf>
    <xf numFmtId="183" fontId="12" fillId="0" borderId="0" xfId="0" applyNumberFormat="1" applyFont="1" applyFill="1" applyAlignment="1">
      <alignment horizontal="center" vertical="center"/>
    </xf>
    <xf numFmtId="181" fontId="14" fillId="0" borderId="0" xfId="0" applyNumberFormat="1" applyFont="1" applyFill="1" applyAlignment="1">
      <alignment vertical="center" wrapText="1"/>
    </xf>
    <xf numFmtId="183" fontId="12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4" borderId="6" xfId="1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2" borderId="8" xfId="4" applyFont="1" applyFill="1" applyBorder="1" applyAlignment="1">
      <alignment horizontal="center" vertical="center" wrapText="1"/>
    </xf>
    <xf numFmtId="0" fontId="12" fillId="0" borderId="3" xfId="4" applyFont="1" applyFill="1" applyBorder="1" applyAlignment="1">
      <alignment horizontal="left" vertical="center" wrapText="1"/>
    </xf>
    <xf numFmtId="0" fontId="12" fillId="2" borderId="9" xfId="4" applyFont="1" applyFill="1" applyBorder="1" applyAlignment="1">
      <alignment horizontal="center" vertical="center" wrapText="1"/>
    </xf>
    <xf numFmtId="0" fontId="12" fillId="0" borderId="5" xfId="4" applyFont="1" applyFill="1" applyBorder="1" applyAlignment="1">
      <alignment horizontal="left" vertical="center" wrapText="1"/>
    </xf>
    <xf numFmtId="0" fontId="12" fillId="4" borderId="2" xfId="1" applyFont="1" applyFill="1" applyBorder="1" applyAlignment="1">
      <alignment horizontal="left" vertical="center" wrapText="1"/>
    </xf>
    <xf numFmtId="0" fontId="12" fillId="4" borderId="2" xfId="1" applyFont="1" applyFill="1" applyBorder="1" applyAlignment="1">
      <alignment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0" fontId="12" fillId="2" borderId="9" xfId="4" applyFont="1" applyFill="1" applyBorder="1" applyAlignment="1">
      <alignment horizontal="left" vertical="center" wrapText="1"/>
    </xf>
    <xf numFmtId="0" fontId="12" fillId="2" borderId="12" xfId="4" applyFont="1" applyFill="1" applyBorder="1" applyAlignment="1">
      <alignment horizontal="left" vertical="center" wrapText="1"/>
    </xf>
    <xf numFmtId="190" fontId="22" fillId="0" borderId="0" xfId="0" applyNumberFormat="1" applyFont="1" applyFill="1" applyAlignment="1">
      <alignment horizontal="left" vertical="center" wrapText="1"/>
    </xf>
    <xf numFmtId="183" fontId="14" fillId="0" borderId="2" xfId="0" applyNumberFormat="1" applyFont="1" applyBorder="1" applyAlignment="1">
      <alignment horizontal="center" vertical="center"/>
    </xf>
    <xf numFmtId="183" fontId="12" fillId="0" borderId="6" xfId="0" applyNumberFormat="1" applyFont="1" applyFill="1" applyBorder="1" applyAlignment="1">
      <alignment horizontal="center" vertical="center" wrapText="1"/>
    </xf>
    <xf numFmtId="183" fontId="12" fillId="0" borderId="9" xfId="0" applyNumberFormat="1" applyFont="1" applyFill="1" applyBorder="1" applyAlignment="1">
      <alignment horizontal="center" vertical="center" wrapText="1"/>
    </xf>
    <xf numFmtId="183" fontId="11" fillId="0" borderId="3" xfId="4" applyNumberFormat="1" applyFont="1" applyFill="1" applyBorder="1" applyAlignment="1">
      <alignment horizontal="center" vertical="center" wrapText="1"/>
    </xf>
    <xf numFmtId="183" fontId="11" fillId="0" borderId="5" xfId="4" applyNumberFormat="1" applyFont="1" applyFill="1" applyBorder="1" applyAlignment="1">
      <alignment horizontal="center" vertical="center" wrapText="1"/>
    </xf>
    <xf numFmtId="183" fontId="11" fillId="0" borderId="4" xfId="4" applyNumberFormat="1" applyFont="1" applyFill="1" applyBorder="1" applyAlignment="1">
      <alignment horizontal="center" vertical="center" wrapText="1"/>
    </xf>
    <xf numFmtId="178" fontId="12" fillId="0" borderId="0" xfId="0" applyNumberFormat="1" applyFont="1" applyFill="1" applyAlignment="1">
      <alignment horizontal="left" vertical="center" wrapText="1"/>
    </xf>
    <xf numFmtId="177" fontId="12" fillId="0" borderId="0" xfId="0" applyNumberFormat="1" applyFont="1" applyFill="1" applyAlignment="1">
      <alignment horizontal="left" vertical="center" wrapText="1"/>
    </xf>
    <xf numFmtId="189" fontId="12" fillId="0" borderId="0" xfId="0" applyNumberFormat="1" applyFont="1" applyFill="1" applyAlignment="1">
      <alignment horizontal="left" vertical="center" wrapText="1"/>
    </xf>
    <xf numFmtId="185" fontId="14" fillId="0" borderId="0" xfId="0" applyNumberFormat="1" applyFont="1" applyAlignment="1">
      <alignment horizontal="left" vertical="center"/>
    </xf>
    <xf numFmtId="183" fontId="11" fillId="0" borderId="3" xfId="0" applyNumberFormat="1" applyFont="1" applyFill="1" applyBorder="1" applyAlignment="1">
      <alignment horizontal="center" vertical="center"/>
    </xf>
    <xf numFmtId="186" fontId="12" fillId="0" borderId="0" xfId="0" applyNumberFormat="1" applyFont="1" applyFill="1" applyAlignment="1">
      <alignment horizontal="left" vertical="center" wrapText="1"/>
    </xf>
    <xf numFmtId="176" fontId="22" fillId="0" borderId="0" xfId="0" applyNumberFormat="1" applyFont="1" applyFill="1" applyAlignment="1">
      <alignment horizontal="left" vertical="center"/>
    </xf>
    <xf numFmtId="183" fontId="12" fillId="4" borderId="2" xfId="1" applyNumberFormat="1" applyFont="1" applyFill="1" applyBorder="1" applyAlignment="1">
      <alignment horizontal="center" vertical="center" wrapText="1"/>
    </xf>
    <xf numFmtId="183" fontId="12" fillId="2" borderId="3" xfId="0" applyNumberFormat="1" applyFont="1" applyFill="1" applyBorder="1" applyAlignment="1">
      <alignment horizontal="center" vertical="center" wrapText="1"/>
    </xf>
    <xf numFmtId="183" fontId="12" fillId="2" borderId="5" xfId="0" applyNumberFormat="1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2" fillId="0" borderId="1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11" fillId="0" borderId="13" xfId="4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vertical="center" wrapText="1"/>
    </xf>
    <xf numFmtId="0" fontId="24" fillId="0" borderId="8" xfId="0" applyFont="1" applyFill="1" applyBorder="1" applyAlignment="1">
      <alignment horizontal="lef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/>
    </xf>
    <xf numFmtId="0" fontId="27" fillId="0" borderId="12" xfId="4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horizontal="left" vertical="center"/>
    </xf>
    <xf numFmtId="0" fontId="28" fillId="0" borderId="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183" fontId="12" fillId="0" borderId="2" xfId="4" applyNumberFormat="1" applyFont="1" applyFill="1" applyBorder="1" applyAlignment="1">
      <alignment horizontal="center" vertical="center" wrapText="1"/>
    </xf>
    <xf numFmtId="183" fontId="24" fillId="0" borderId="2" xfId="0" applyNumberFormat="1" applyFont="1" applyFill="1" applyBorder="1" applyAlignment="1">
      <alignment horizontal="center" vertical="center" wrapText="1"/>
    </xf>
    <xf numFmtId="183" fontId="14" fillId="0" borderId="3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183" fontId="14" fillId="0" borderId="5" xfId="0" applyNumberFormat="1" applyFont="1" applyFill="1" applyBorder="1" applyAlignment="1">
      <alignment horizontal="center" vertical="center"/>
    </xf>
    <xf numFmtId="183" fontId="14" fillId="0" borderId="2" xfId="0" applyNumberFormat="1" applyFont="1" applyBorder="1" applyAlignment="1">
      <alignment vertical="center"/>
    </xf>
    <xf numFmtId="183" fontId="12" fillId="0" borderId="3" xfId="4" applyNumberFormat="1" applyFont="1" applyFill="1" applyBorder="1" applyAlignment="1">
      <alignment horizontal="center" vertical="center" wrapText="1"/>
    </xf>
    <xf numFmtId="183" fontId="12" fillId="0" borderId="5" xfId="4" applyNumberFormat="1" applyFont="1" applyFill="1" applyBorder="1" applyAlignment="1">
      <alignment horizontal="center" vertical="center" wrapText="1"/>
    </xf>
    <xf numFmtId="181" fontId="12" fillId="0" borderId="2" xfId="4" applyNumberFormat="1" applyFont="1" applyFill="1" applyBorder="1" applyAlignment="1">
      <alignment horizontal="center" vertical="center" wrapText="1"/>
    </xf>
    <xf numFmtId="183" fontId="12" fillId="0" borderId="2" xfId="0" applyNumberFormat="1" applyFont="1" applyFill="1" applyBorder="1" applyAlignment="1">
      <alignment horizontal="center" vertical="center"/>
    </xf>
    <xf numFmtId="183" fontId="14" fillId="0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183" fontId="25" fillId="0" borderId="2" xfId="0" applyNumberFormat="1" applyFont="1" applyFill="1" applyBorder="1" applyAlignment="1">
      <alignment horizontal="center" vertical="center"/>
    </xf>
    <xf numFmtId="183" fontId="25" fillId="0" borderId="2" xfId="0" applyNumberFormat="1" applyFont="1" applyBorder="1" applyAlignment="1">
      <alignment horizontal="center" vertical="center"/>
    </xf>
    <xf numFmtId="183" fontId="28" fillId="0" borderId="2" xfId="0" applyNumberFormat="1" applyFont="1" applyFill="1" applyBorder="1" applyAlignment="1">
      <alignment horizontal="center" vertical="center"/>
    </xf>
    <xf numFmtId="183" fontId="14" fillId="0" borderId="0" xfId="0" applyNumberFormat="1" applyFont="1">
      <alignment vertical="center"/>
    </xf>
    <xf numFmtId="0" fontId="14" fillId="0" borderId="0" xfId="0" applyFont="1" applyAlignment="1">
      <alignment vertical="center"/>
    </xf>
  </cellXfs>
  <cellStyles count="54">
    <cellStyle name="常规" xfId="0" builtinId="0"/>
    <cellStyle name="Normal" xfId="1"/>
    <cellStyle name="常规 2" xfId="2"/>
    <cellStyle name="常规 4" xfId="3"/>
    <cellStyle name="常规 5" xfId="4"/>
    <cellStyle name="60% - 强调文字颜色 6" xfId="5" builtinId="52"/>
    <cellStyle name="20% - 强调文字颜色 4" xfId="6" builtinId="42"/>
    <cellStyle name="强调文字颜色 4" xfId="7" builtinId="41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常规_创艺装饰公司预算定额" xfId="43"/>
    <cellStyle name="强调文字颜色 5" xfId="44" builtinId="45"/>
    <cellStyle name="40% - 强调文字颜色 6" xfId="45" builtinId="51"/>
    <cellStyle name="超链接" xfId="46" builtinId="8"/>
    <cellStyle name="千位分隔[0]" xfId="47" builtinId="6"/>
    <cellStyle name="标题 2" xfId="48" builtinId="17"/>
    <cellStyle name="40% - 强调文字颜色 5" xfId="49" builtinId="47"/>
    <cellStyle name="标题 3" xfId="50" builtinId="18"/>
    <cellStyle name="强调文字颜色 6" xfId="51" builtinId="49"/>
    <cellStyle name="40% - 强调文字颜色 1" xfId="52" builtinId="31"/>
    <cellStyle name="链接单元格" xfId="53" builtinId="24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267968C86FFD4C36ACC19EA1FD1885CA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57"/>
  <sheetViews>
    <sheetView tabSelected="1" zoomScale="81" zoomScaleNormal="81" workbookViewId="0">
      <selection activeCell="A1" sqref="A1:G1"/>
    </sheetView>
  </sheetViews>
  <sheetFormatPr defaultColWidth="9.64285714285714" defaultRowHeight="13.1"/>
  <cols>
    <col min="1" max="1" width="4.53571428571429" style="23" customWidth="1"/>
    <col min="2" max="2" width="16.1517857142857" style="24" customWidth="1"/>
    <col min="3" max="3" width="33.8928571428571" style="24" customWidth="1"/>
    <col min="4" max="4" width="4.64285714285714" style="25" customWidth="1"/>
    <col min="5" max="5" width="14.1071428571429" style="26"/>
    <col min="6" max="6" width="10.8125" style="27" customWidth="1"/>
    <col min="7" max="7" width="15.1517857142857" style="27" customWidth="1"/>
    <col min="8" max="8" width="13.7410714285714" style="28" hidden="1" customWidth="1"/>
    <col min="9" max="9" width="9" style="29" hidden="1" customWidth="1"/>
    <col min="10" max="10" width="9.4375" style="30" hidden="1" customWidth="1"/>
    <col min="11" max="11" width="9" style="30" hidden="1" customWidth="1"/>
    <col min="12" max="12" width="11.9375" style="30" hidden="1" customWidth="1"/>
    <col min="13" max="13" width="11.6696428571429" style="30" hidden="1" customWidth="1"/>
    <col min="14" max="14" width="15.0535714285714" style="30" hidden="1" customWidth="1"/>
    <col min="15" max="15" width="9" style="30" hidden="1" customWidth="1"/>
    <col min="16" max="16" width="10.6875" style="30" hidden="1" customWidth="1"/>
    <col min="17" max="18" width="9" style="30" hidden="1" customWidth="1"/>
    <col min="19" max="19" width="10.5" style="27" hidden="1" customWidth="1"/>
    <col min="20" max="20" width="22.1071428571429" style="31" hidden="1" customWidth="1"/>
    <col min="21" max="16384" width="9" style="31"/>
  </cols>
  <sheetData>
    <row r="1" s="18" customFormat="1" ht="59.3" customHeight="1" spans="1:19">
      <c r="A1" s="32" t="s">
        <v>0</v>
      </c>
      <c r="B1" s="33"/>
      <c r="C1" s="33"/>
      <c r="D1" s="34"/>
      <c r="E1" s="104"/>
      <c r="F1" s="34"/>
      <c r="G1" s="34"/>
      <c r="H1" s="28"/>
      <c r="I1" s="146" t="s">
        <v>1</v>
      </c>
      <c r="J1" s="147"/>
      <c r="K1" s="147"/>
      <c r="L1" s="147"/>
      <c r="M1" s="147"/>
      <c r="N1" s="147"/>
      <c r="O1" s="147"/>
      <c r="P1" s="147"/>
      <c r="Q1" s="147"/>
      <c r="R1" s="147"/>
      <c r="S1" s="157"/>
    </row>
    <row r="2" s="19" customFormat="1" ht="34" customHeight="1" spans="1:16384">
      <c r="A2" s="35" t="s">
        <v>2</v>
      </c>
      <c r="B2" s="36" t="s">
        <v>3</v>
      </c>
      <c r="C2" s="36" t="s">
        <v>4</v>
      </c>
      <c r="D2" s="35" t="s">
        <v>5</v>
      </c>
      <c r="E2" s="105" t="s">
        <v>6</v>
      </c>
      <c r="F2" s="106" t="s">
        <v>7</v>
      </c>
      <c r="G2" s="106" t="s">
        <v>8</v>
      </c>
      <c r="H2" s="75" t="s">
        <v>9</v>
      </c>
      <c r="I2" s="19" t="s">
        <v>10</v>
      </c>
      <c r="J2" s="148" t="s">
        <v>11</v>
      </c>
      <c r="K2" s="148" t="s">
        <v>12</v>
      </c>
      <c r="L2" s="149" t="s">
        <v>13</v>
      </c>
      <c r="M2" s="149" t="s">
        <v>14</v>
      </c>
      <c r="N2" s="149" t="s">
        <v>15</v>
      </c>
      <c r="O2" s="149" t="s">
        <v>16</v>
      </c>
      <c r="P2" s="149" t="s">
        <v>17</v>
      </c>
      <c r="Q2" s="149" t="s">
        <v>18</v>
      </c>
      <c r="R2" s="148" t="s">
        <v>19</v>
      </c>
      <c r="S2" s="148" t="s">
        <v>20</v>
      </c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  <c r="XFD2" s="21"/>
    </row>
    <row r="3" s="19" customFormat="1" ht="21" customHeight="1" spans="1:16384">
      <c r="A3" s="37" t="s">
        <v>21</v>
      </c>
      <c r="B3" s="38" t="s">
        <v>22</v>
      </c>
      <c r="C3" s="38" t="s">
        <v>23</v>
      </c>
      <c r="D3" s="39" t="s">
        <v>24</v>
      </c>
      <c r="E3" s="107"/>
      <c r="F3" s="108"/>
      <c r="G3" s="109"/>
      <c r="H3" s="75"/>
      <c r="J3" s="148"/>
      <c r="K3" s="148"/>
      <c r="L3" s="149"/>
      <c r="M3" s="149"/>
      <c r="N3" s="149"/>
      <c r="O3" s="149"/>
      <c r="P3" s="149"/>
      <c r="Q3" s="149"/>
      <c r="R3" s="148"/>
      <c r="S3" s="148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="19" customFormat="1" ht="22.5" customHeight="1" spans="1:16384">
      <c r="A4" s="40">
        <v>1</v>
      </c>
      <c r="B4" s="41" t="s">
        <v>25</v>
      </c>
      <c r="C4" s="41" t="s">
        <v>26</v>
      </c>
      <c r="D4" s="42" t="s">
        <v>27</v>
      </c>
      <c r="E4" s="110">
        <f>138.85+15</f>
        <v>153.85</v>
      </c>
      <c r="F4" s="111"/>
      <c r="G4" s="111"/>
      <c r="H4" s="112" t="s">
        <v>28</v>
      </c>
      <c r="I4" s="20">
        <v>10.958</v>
      </c>
      <c r="J4" s="150"/>
      <c r="K4" s="150">
        <v>7.64</v>
      </c>
      <c r="L4" s="148">
        <f t="shared" ref="L4:L12" si="0">(I4+K4*8%)*22.78%</f>
        <v>2.63546376</v>
      </c>
      <c r="M4" s="148">
        <f t="shared" ref="M4:M12" si="1">(I4+K4*8%)*13.81%</f>
        <v>1.59770652</v>
      </c>
      <c r="N4" s="148">
        <f t="shared" ref="N4:N9" si="2">(I4+J4+K4+L4+M4)*13.5%</f>
        <v>3.0822079878</v>
      </c>
      <c r="O4" s="148">
        <f t="shared" ref="O4:O12" si="3">I4*20%</f>
        <v>2.1916</v>
      </c>
      <c r="P4" s="148">
        <f t="shared" ref="P4:P12" si="4">(I4+K4*8%)*18.04%</f>
        <v>2.08708368</v>
      </c>
      <c r="Q4" s="148">
        <f t="shared" ref="Q4:Q12" si="5">(I4+J4+K4+L4+M4+N4+O4+P4)*9%*(1+12%)</f>
        <v>3.04335984433824</v>
      </c>
      <c r="R4" s="148">
        <f t="shared" ref="R4:R12" si="6">I4+J4+K4+L4+M4+N4+O4+P4+Q4</f>
        <v>33.2354217921382</v>
      </c>
      <c r="S4" s="155">
        <f>R4+R5+R6</f>
        <v>91.5401908393267</v>
      </c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="19" customFormat="1" ht="22.5" customHeight="1" spans="1:16384">
      <c r="A5" s="43"/>
      <c r="B5" s="44"/>
      <c r="C5" s="44"/>
      <c r="D5" s="45"/>
      <c r="E5" s="113"/>
      <c r="F5" s="114"/>
      <c r="G5" s="114"/>
      <c r="H5" s="112" t="s">
        <v>29</v>
      </c>
      <c r="I5" s="20">
        <v>11.1475</v>
      </c>
      <c r="J5" s="150">
        <v>5.3576</v>
      </c>
      <c r="K5" s="150">
        <v>1.5063</v>
      </c>
      <c r="L5" s="148">
        <f t="shared" si="0"/>
        <v>2.5668513112</v>
      </c>
      <c r="M5" s="148">
        <f t="shared" si="1"/>
        <v>1.5561113524</v>
      </c>
      <c r="N5" s="148">
        <f t="shared" si="2"/>
        <v>2.988138959586</v>
      </c>
      <c r="O5" s="148">
        <f t="shared" si="3"/>
        <v>2.2295</v>
      </c>
      <c r="P5" s="148">
        <f t="shared" si="4"/>
        <v>2.0327479216</v>
      </c>
      <c r="Q5" s="148">
        <f t="shared" si="5"/>
        <v>2.96198275411443</v>
      </c>
      <c r="R5" s="148">
        <f t="shared" si="6"/>
        <v>32.3467322989004</v>
      </c>
      <c r="S5" s="155"/>
      <c r="T5" s="19" t="s">
        <v>30</v>
      </c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21"/>
      <c r="XFD5" s="21"/>
    </row>
    <row r="6" s="19" customFormat="1" ht="9" customHeight="1" spans="1:16384">
      <c r="A6" s="46"/>
      <c r="B6" s="44"/>
      <c r="C6" s="44"/>
      <c r="D6" s="45"/>
      <c r="E6" s="113"/>
      <c r="F6" s="114"/>
      <c r="G6" s="114"/>
      <c r="H6" s="112" t="s">
        <v>31</v>
      </c>
      <c r="I6" s="20"/>
      <c r="J6" s="150"/>
      <c r="K6" s="151">
        <f>200*0.1</f>
        <v>20</v>
      </c>
      <c r="L6" s="150">
        <f t="shared" si="0"/>
        <v>0.36448</v>
      </c>
      <c r="M6" s="150">
        <f t="shared" si="1"/>
        <v>0.22096</v>
      </c>
      <c r="N6" s="150">
        <f>(I6+J6+K6+L6+M6)*13.15%</f>
        <v>2.70698536</v>
      </c>
      <c r="O6" s="150">
        <f t="shared" si="3"/>
        <v>0</v>
      </c>
      <c r="P6" s="150">
        <f t="shared" si="4"/>
        <v>0.28864</v>
      </c>
      <c r="Q6" s="150">
        <f t="shared" si="5"/>
        <v>2.376971388288</v>
      </c>
      <c r="R6" s="150">
        <f t="shared" si="6"/>
        <v>25.958036748288</v>
      </c>
      <c r="S6" s="155"/>
      <c r="T6" s="19" t="s">
        <v>32</v>
      </c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21"/>
      <c r="XFD6" s="21"/>
    </row>
    <row r="7" s="19" customFormat="1" ht="15" customHeight="1" spans="1:16384">
      <c r="A7" s="47">
        <v>2</v>
      </c>
      <c r="B7" s="48" t="s">
        <v>33</v>
      </c>
      <c r="C7" s="49" t="s">
        <v>34</v>
      </c>
      <c r="D7" s="50" t="s">
        <v>27</v>
      </c>
      <c r="E7" s="115">
        <f>132.5*1.05</f>
        <v>139.125</v>
      </c>
      <c r="F7" s="116"/>
      <c r="G7" s="116"/>
      <c r="H7" s="112" t="s">
        <v>35</v>
      </c>
      <c r="I7" s="20">
        <v>9.564</v>
      </c>
      <c r="J7" s="152"/>
      <c r="K7" s="153"/>
      <c r="L7" s="148">
        <f t="shared" si="0"/>
        <v>2.1786792</v>
      </c>
      <c r="M7" s="148">
        <f t="shared" si="1"/>
        <v>1.3207884</v>
      </c>
      <c r="N7" s="148">
        <f t="shared" si="2"/>
        <v>1.763568126</v>
      </c>
      <c r="O7" s="148">
        <f t="shared" si="3"/>
        <v>1.9128</v>
      </c>
      <c r="P7" s="148">
        <f t="shared" si="4"/>
        <v>1.7253456</v>
      </c>
      <c r="Q7" s="148">
        <f t="shared" si="5"/>
        <v>1.8612902776608</v>
      </c>
      <c r="R7" s="148">
        <f t="shared" si="6"/>
        <v>20.3264716036608</v>
      </c>
      <c r="S7" s="155">
        <f>R7+R8+R9</f>
        <v>38.1333348361542</v>
      </c>
      <c r="T7" s="19" t="s">
        <v>36</v>
      </c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="19" customFormat="1" ht="21" customHeight="1" spans="1:16384">
      <c r="A8" s="47"/>
      <c r="B8" s="48"/>
      <c r="C8" s="49"/>
      <c r="D8" s="50"/>
      <c r="E8" s="115"/>
      <c r="F8" s="116"/>
      <c r="G8" s="116"/>
      <c r="H8" s="112" t="s">
        <v>37</v>
      </c>
      <c r="I8" s="20"/>
      <c r="J8" s="150"/>
      <c r="K8" s="150">
        <f>190/20</f>
        <v>9.5</v>
      </c>
      <c r="L8" s="148">
        <f t="shared" si="0"/>
        <v>0.173128</v>
      </c>
      <c r="M8" s="148">
        <f t="shared" si="1"/>
        <v>0.104956</v>
      </c>
      <c r="N8" s="148">
        <f t="shared" si="2"/>
        <v>1.32004134</v>
      </c>
      <c r="O8" s="148">
        <f t="shared" si="3"/>
        <v>0</v>
      </c>
      <c r="P8" s="148">
        <f t="shared" si="4"/>
        <v>0.137104</v>
      </c>
      <c r="Q8" s="148">
        <f t="shared" si="5"/>
        <v>1.132511117472</v>
      </c>
      <c r="R8" s="148">
        <f t="shared" si="6"/>
        <v>12.367740457472</v>
      </c>
      <c r="S8" s="155"/>
      <c r="T8" s="19" t="s">
        <v>32</v>
      </c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="19" customFormat="1" ht="13" customHeight="1" spans="1:16384">
      <c r="A9" s="47"/>
      <c r="B9" s="48"/>
      <c r="C9" s="49"/>
      <c r="D9" s="50"/>
      <c r="E9" s="115"/>
      <c r="F9" s="116"/>
      <c r="G9" s="116"/>
      <c r="H9" s="112" t="s">
        <v>38</v>
      </c>
      <c r="I9" s="20">
        <f>51.129*0.05</f>
        <v>2.55645</v>
      </c>
      <c r="J9" s="150">
        <v>0.0047</v>
      </c>
      <c r="K9" s="150"/>
      <c r="L9" s="148">
        <f t="shared" si="0"/>
        <v>0.58235931</v>
      </c>
      <c r="M9" s="148">
        <f t="shared" si="1"/>
        <v>0.353045745</v>
      </c>
      <c r="N9" s="148">
        <f t="shared" si="2"/>
        <v>0.472034932425</v>
      </c>
      <c r="O9" s="148">
        <f t="shared" si="3"/>
        <v>0.51129</v>
      </c>
      <c r="P9" s="148">
        <f t="shared" si="4"/>
        <v>0.46118358</v>
      </c>
      <c r="Q9" s="148">
        <f t="shared" si="5"/>
        <v>0.49805920759644</v>
      </c>
      <c r="R9" s="148">
        <f t="shared" si="6"/>
        <v>5.43912277502144</v>
      </c>
      <c r="S9" s="155"/>
      <c r="T9" s="19" t="s">
        <v>39</v>
      </c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="19" customFormat="1" ht="22.5" customHeight="1" spans="1:16384">
      <c r="A10" s="51">
        <v>3</v>
      </c>
      <c r="B10" s="52" t="s">
        <v>40</v>
      </c>
      <c r="C10" s="36" t="s">
        <v>41</v>
      </c>
      <c r="D10" s="50" t="s">
        <v>42</v>
      </c>
      <c r="E10" s="117">
        <f>E7*0.15</f>
        <v>20.86875</v>
      </c>
      <c r="F10" s="106"/>
      <c r="G10" s="106"/>
      <c r="H10" s="118">
        <v>37012</v>
      </c>
      <c r="I10" s="19">
        <f>57.174</f>
        <v>57.174</v>
      </c>
      <c r="J10" s="148">
        <v>351.478</v>
      </c>
      <c r="K10" s="150"/>
      <c r="L10" s="148">
        <f t="shared" si="0"/>
        <v>13.0242372</v>
      </c>
      <c r="M10" s="148">
        <f t="shared" si="1"/>
        <v>7.8957294</v>
      </c>
      <c r="N10" s="148">
        <f t="shared" ref="N10:N12" si="7">(I10+J10+K10+L10+M10)*3.5%</f>
        <v>15.035018831</v>
      </c>
      <c r="O10" s="148">
        <f t="shared" si="3"/>
        <v>11.4348</v>
      </c>
      <c r="P10" s="148">
        <f t="shared" si="4"/>
        <v>10.3141896</v>
      </c>
      <c r="Q10" s="148">
        <f t="shared" si="5"/>
        <v>47.0086822831248</v>
      </c>
      <c r="R10" s="148">
        <f t="shared" si="6"/>
        <v>513.364657314125</v>
      </c>
      <c r="S10" s="21">
        <f>R10+R11</f>
        <v>731.657036379975</v>
      </c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="19" customFormat="1" ht="22.5" customHeight="1" spans="1:16384">
      <c r="A11" s="51"/>
      <c r="B11" s="52"/>
      <c r="C11" s="36"/>
      <c r="D11" s="50"/>
      <c r="E11" s="117"/>
      <c r="F11" s="106"/>
      <c r="G11" s="106"/>
      <c r="H11" s="75" t="s">
        <v>43</v>
      </c>
      <c r="I11" s="19">
        <v>104.463</v>
      </c>
      <c r="J11" s="148">
        <v>1.235</v>
      </c>
      <c r="K11" s="150">
        <v>8.898</v>
      </c>
      <c r="L11" s="148">
        <f t="shared" si="0"/>
        <v>23.958828552</v>
      </c>
      <c r="M11" s="148">
        <f t="shared" si="1"/>
        <v>14.524645404</v>
      </c>
      <c r="N11" s="148">
        <f t="shared" si="7"/>
        <v>5.35778158846</v>
      </c>
      <c r="O11" s="148">
        <f t="shared" si="3"/>
        <v>20.8926</v>
      </c>
      <c r="P11" s="148">
        <f t="shared" si="4"/>
        <v>18.973541136</v>
      </c>
      <c r="Q11" s="148">
        <f t="shared" si="5"/>
        <v>19.9889823853904</v>
      </c>
      <c r="R11" s="148">
        <f t="shared" si="6"/>
        <v>218.29237906585</v>
      </c>
      <c r="S11" s="21"/>
      <c r="T11" s="19" t="s">
        <v>44</v>
      </c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="20" customFormat="1" ht="38.55" spans="1:19">
      <c r="A12" s="46">
        <v>4</v>
      </c>
      <c r="B12" s="53" t="s">
        <v>45</v>
      </c>
      <c r="C12" s="53" t="s">
        <v>46</v>
      </c>
      <c r="D12" s="50" t="s">
        <v>27</v>
      </c>
      <c r="E12" s="119">
        <f>102.3*1.05</f>
        <v>107.415</v>
      </c>
      <c r="F12" s="120"/>
      <c r="G12" s="106"/>
      <c r="H12" s="112" t="s">
        <v>47</v>
      </c>
      <c r="I12" s="20">
        <f>(19.4299+3.0182)*110%</f>
        <v>24.69291</v>
      </c>
      <c r="J12" s="150">
        <f>10.6194+2.562</f>
        <v>13.1814</v>
      </c>
      <c r="K12" s="150">
        <f>0.1932+0.0057</f>
        <v>0.1989</v>
      </c>
      <c r="L12" s="148">
        <f t="shared" si="0"/>
        <v>5.6286696516</v>
      </c>
      <c r="M12" s="148">
        <f t="shared" si="1"/>
        <v>3.4122883182</v>
      </c>
      <c r="N12" s="148">
        <f t="shared" si="7"/>
        <v>1.648995878943</v>
      </c>
      <c r="O12" s="148">
        <f t="shared" si="3"/>
        <v>4.938582</v>
      </c>
      <c r="P12" s="148">
        <f t="shared" si="4"/>
        <v>4.4574714888</v>
      </c>
      <c r="Q12" s="148">
        <f t="shared" si="5"/>
        <v>5.86244910762434</v>
      </c>
      <c r="R12" s="148">
        <f t="shared" si="6"/>
        <v>64.0216664451673</v>
      </c>
      <c r="S12" s="155">
        <f>R12</f>
        <v>64.0216664451673</v>
      </c>
    </row>
    <row r="13" s="20" customFormat="1" ht="22" customHeight="1" spans="1:19">
      <c r="A13" s="54" t="s">
        <v>48</v>
      </c>
      <c r="B13" s="55" t="s">
        <v>49</v>
      </c>
      <c r="C13" s="56" t="s">
        <v>50</v>
      </c>
      <c r="D13" s="57" t="s">
        <v>24</v>
      </c>
      <c r="E13" s="121"/>
      <c r="F13" s="54"/>
      <c r="G13" s="109"/>
      <c r="H13" s="122"/>
      <c r="I13" s="154"/>
      <c r="J13" s="151"/>
      <c r="K13" s="151"/>
      <c r="L13" s="148"/>
      <c r="M13" s="148"/>
      <c r="N13" s="148"/>
      <c r="O13" s="148"/>
      <c r="P13" s="148"/>
      <c r="Q13" s="148"/>
      <c r="R13" s="148"/>
      <c r="S13" s="155"/>
    </row>
    <row r="14" s="20" customFormat="1" ht="15" customHeight="1" spans="1:20">
      <c r="A14" s="50">
        <v>1</v>
      </c>
      <c r="B14" s="58" t="s">
        <v>51</v>
      </c>
      <c r="C14" s="59" t="s">
        <v>52</v>
      </c>
      <c r="D14" s="60" t="s">
        <v>53</v>
      </c>
      <c r="E14" s="123">
        <v>3</v>
      </c>
      <c r="F14" s="114"/>
      <c r="G14" s="114"/>
      <c r="H14" s="124" t="s">
        <v>54</v>
      </c>
      <c r="I14" s="154">
        <f t="shared" ref="I14:I17" si="8">34.444</f>
        <v>34.444</v>
      </c>
      <c r="J14" s="151"/>
      <c r="K14" s="151"/>
      <c r="L14" s="148">
        <f t="shared" ref="L13:L23" si="9">(I14+K14*8%)*22.78%</f>
        <v>7.8463432</v>
      </c>
      <c r="M14" s="148">
        <f t="shared" ref="M13:M23" si="10">(I14+K14*8%)*13.81%</f>
        <v>4.7567164</v>
      </c>
      <c r="N14" s="148">
        <f t="shared" ref="N14:N25" si="11">(I14+J14+K14+L14+M14)*13.5%</f>
        <v>6.351353046</v>
      </c>
      <c r="O14" s="148">
        <f t="shared" ref="O13:O23" si="12">I14*20%</f>
        <v>6.8888</v>
      </c>
      <c r="P14" s="148">
        <f t="shared" ref="P13:P23" si="13">(I14+K14*8%)*18.04%</f>
        <v>6.2136976</v>
      </c>
      <c r="Q14" s="148">
        <f t="shared" ref="Q13:Q23" si="14">(I14+J14+K14+L14+M14+N14+O14+P14)*9%*(1+12%)</f>
        <v>6.7032917527968</v>
      </c>
      <c r="R14" s="148">
        <f t="shared" ref="R13:R23" si="15">I14+J14+K14+L14+M14+N14+O14+P14+Q14</f>
        <v>73.2042019987968</v>
      </c>
      <c r="S14" s="21">
        <f t="shared" ref="S14:S18" si="16">R14+R15</f>
        <v>78.0058838337536</v>
      </c>
      <c r="T14" s="20" t="s">
        <v>36</v>
      </c>
    </row>
    <row r="15" s="20" customFormat="1" ht="15" customHeight="1" spans="1:20">
      <c r="A15" s="50"/>
      <c r="B15" s="58"/>
      <c r="C15" s="59"/>
      <c r="D15" s="60"/>
      <c r="E15" s="125"/>
      <c r="F15" s="114"/>
      <c r="G15" s="114"/>
      <c r="H15" s="124" t="s">
        <v>55</v>
      </c>
      <c r="I15" s="154">
        <v>2.244</v>
      </c>
      <c r="J15" s="151">
        <v>0.026</v>
      </c>
      <c r="K15" s="151"/>
      <c r="L15" s="148">
        <f t="shared" si="9"/>
        <v>0.5111832</v>
      </c>
      <c r="M15" s="148">
        <f t="shared" si="10"/>
        <v>0.3098964</v>
      </c>
      <c r="N15" s="148">
        <f t="shared" si="11"/>
        <v>0.417295746</v>
      </c>
      <c r="O15" s="148">
        <f t="shared" si="12"/>
        <v>0.4488</v>
      </c>
      <c r="P15" s="148">
        <f t="shared" si="13"/>
        <v>0.4048176</v>
      </c>
      <c r="Q15" s="148">
        <f t="shared" si="14"/>
        <v>0.4396888889568</v>
      </c>
      <c r="R15" s="148">
        <f t="shared" si="15"/>
        <v>4.8016818349568</v>
      </c>
      <c r="S15" s="21"/>
      <c r="T15" s="20" t="s">
        <v>56</v>
      </c>
    </row>
    <row r="16" s="20" customFormat="1" ht="15" customHeight="1" spans="1:20">
      <c r="A16" s="50">
        <v>2</v>
      </c>
      <c r="B16" s="53" t="s">
        <v>57</v>
      </c>
      <c r="C16" s="53" t="s">
        <v>58</v>
      </c>
      <c r="D16" s="61" t="s">
        <v>53</v>
      </c>
      <c r="E16" s="117">
        <v>7</v>
      </c>
      <c r="F16" s="116"/>
      <c r="G16" s="106"/>
      <c r="H16" s="124" t="s">
        <v>54</v>
      </c>
      <c r="I16" s="154">
        <f t="shared" si="8"/>
        <v>34.444</v>
      </c>
      <c r="J16" s="151"/>
      <c r="K16" s="151"/>
      <c r="L16" s="148">
        <f t="shared" si="9"/>
        <v>7.8463432</v>
      </c>
      <c r="M16" s="148">
        <f t="shared" si="10"/>
        <v>4.7567164</v>
      </c>
      <c r="N16" s="148">
        <f t="shared" si="11"/>
        <v>6.351353046</v>
      </c>
      <c r="O16" s="148">
        <f t="shared" si="12"/>
        <v>6.8888</v>
      </c>
      <c r="P16" s="148">
        <f t="shared" si="13"/>
        <v>6.2136976</v>
      </c>
      <c r="Q16" s="148">
        <f t="shared" si="14"/>
        <v>6.7032917527968</v>
      </c>
      <c r="R16" s="148">
        <f t="shared" si="15"/>
        <v>73.2042019987968</v>
      </c>
      <c r="S16" s="21">
        <f t="shared" si="16"/>
        <v>78.0058838337536</v>
      </c>
      <c r="T16" s="20" t="s">
        <v>36</v>
      </c>
    </row>
    <row r="17" s="19" customFormat="1" ht="15" customHeight="1" spans="1:16384">
      <c r="A17" s="50"/>
      <c r="B17" s="53"/>
      <c r="C17" s="53"/>
      <c r="D17" s="61"/>
      <c r="E17" s="117"/>
      <c r="F17" s="116"/>
      <c r="G17" s="106"/>
      <c r="H17" s="124" t="s">
        <v>55</v>
      </c>
      <c r="I17" s="154">
        <v>2.244</v>
      </c>
      <c r="J17" s="151">
        <v>0.026</v>
      </c>
      <c r="K17" s="151"/>
      <c r="L17" s="148">
        <f t="shared" si="9"/>
        <v>0.5111832</v>
      </c>
      <c r="M17" s="148">
        <f t="shared" si="10"/>
        <v>0.3098964</v>
      </c>
      <c r="N17" s="148">
        <f t="shared" si="11"/>
        <v>0.417295746</v>
      </c>
      <c r="O17" s="148">
        <f t="shared" si="12"/>
        <v>0.4488</v>
      </c>
      <c r="P17" s="148">
        <f t="shared" si="13"/>
        <v>0.4048176</v>
      </c>
      <c r="Q17" s="148">
        <f t="shared" si="14"/>
        <v>0.4396888889568</v>
      </c>
      <c r="R17" s="148">
        <f t="shared" si="15"/>
        <v>4.8016818349568</v>
      </c>
      <c r="S17" s="21"/>
      <c r="T17" s="19" t="s">
        <v>56</v>
      </c>
      <c r="XDY17" s="21"/>
      <c r="XDZ17" s="21"/>
      <c r="XEA17" s="21"/>
      <c r="XEB17" s="21"/>
      <c r="XEC17" s="21"/>
      <c r="XED17" s="21"/>
      <c r="XEE17" s="21"/>
      <c r="XEF17" s="21"/>
      <c r="XEG17" s="21"/>
      <c r="XEH17" s="21"/>
      <c r="XEI17" s="21"/>
      <c r="XEJ17" s="21"/>
      <c r="XEK17" s="21"/>
      <c r="XEL17" s="21"/>
      <c r="XEM17" s="21"/>
      <c r="XEN17" s="21"/>
      <c r="XEO17" s="21"/>
      <c r="XEP17" s="21"/>
      <c r="XEQ17" s="21"/>
      <c r="XER17" s="21"/>
      <c r="XES17" s="21"/>
      <c r="XET17" s="21"/>
      <c r="XEU17" s="21"/>
      <c r="XEV17" s="21"/>
      <c r="XEW17" s="21"/>
      <c r="XEX17" s="21"/>
      <c r="XEY17" s="21"/>
      <c r="XEZ17" s="21"/>
      <c r="XFA17" s="21"/>
      <c r="XFB17" s="21"/>
      <c r="XFC17" s="21"/>
      <c r="XFD17" s="21"/>
    </row>
    <row r="18" s="19" customFormat="1" ht="26" customHeight="1" spans="1:16384">
      <c r="A18" s="50">
        <v>3</v>
      </c>
      <c r="B18" s="62" t="s">
        <v>59</v>
      </c>
      <c r="C18" s="62" t="s">
        <v>58</v>
      </c>
      <c r="D18" s="42" t="s">
        <v>53</v>
      </c>
      <c r="E18" s="126">
        <v>4</v>
      </c>
      <c r="F18" s="114"/>
      <c r="G18" s="114"/>
      <c r="H18" s="124" t="s">
        <v>60</v>
      </c>
      <c r="I18" s="154">
        <f>34.444</f>
        <v>34.444</v>
      </c>
      <c r="J18" s="151"/>
      <c r="K18" s="151"/>
      <c r="L18" s="148">
        <f t="shared" si="9"/>
        <v>7.8463432</v>
      </c>
      <c r="M18" s="148">
        <f t="shared" si="10"/>
        <v>4.7567164</v>
      </c>
      <c r="N18" s="148">
        <f t="shared" si="11"/>
        <v>6.351353046</v>
      </c>
      <c r="O18" s="148">
        <f t="shared" si="12"/>
        <v>6.8888</v>
      </c>
      <c r="P18" s="148">
        <f t="shared" si="13"/>
        <v>6.2136976</v>
      </c>
      <c r="Q18" s="148">
        <f t="shared" si="14"/>
        <v>6.7032917527968</v>
      </c>
      <c r="R18" s="148">
        <f t="shared" si="15"/>
        <v>73.2042019987968</v>
      </c>
      <c r="S18" s="21">
        <f t="shared" si="16"/>
        <v>78.0058838337536</v>
      </c>
      <c r="T18" s="20" t="s">
        <v>36</v>
      </c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  <c r="XEI18" s="21"/>
      <c r="XEJ18" s="21"/>
      <c r="XEK18" s="21"/>
      <c r="XEL18" s="21"/>
      <c r="XEM18" s="21"/>
      <c r="XEN18" s="21"/>
      <c r="XEO18" s="21"/>
      <c r="XEP18" s="21"/>
      <c r="XEQ18" s="21"/>
      <c r="XER18" s="21"/>
      <c r="XES18" s="21"/>
      <c r="XET18" s="21"/>
      <c r="XEU18" s="21"/>
      <c r="XEV18" s="21"/>
      <c r="XEW18" s="21"/>
      <c r="XEX18" s="21"/>
      <c r="XEY18" s="21"/>
      <c r="XEZ18" s="21"/>
      <c r="XFA18" s="21"/>
      <c r="XFB18" s="21"/>
      <c r="XFC18" s="21"/>
      <c r="XFD18" s="21"/>
    </row>
    <row r="19" s="19" customFormat="1" ht="6" customHeight="1" spans="1:16384">
      <c r="A19" s="50"/>
      <c r="B19" s="63"/>
      <c r="C19" s="63"/>
      <c r="D19" s="64"/>
      <c r="E19" s="127"/>
      <c r="F19" s="114"/>
      <c r="G19" s="114"/>
      <c r="H19" s="124" t="s">
        <v>61</v>
      </c>
      <c r="I19" s="154">
        <v>2.244</v>
      </c>
      <c r="J19" s="151">
        <v>0.026</v>
      </c>
      <c r="K19" s="151"/>
      <c r="L19" s="148">
        <f t="shared" si="9"/>
        <v>0.5111832</v>
      </c>
      <c r="M19" s="148">
        <f t="shared" si="10"/>
        <v>0.3098964</v>
      </c>
      <c r="N19" s="148">
        <f t="shared" si="11"/>
        <v>0.417295746</v>
      </c>
      <c r="O19" s="148">
        <f t="shared" si="12"/>
        <v>0.4488</v>
      </c>
      <c r="P19" s="148">
        <f t="shared" si="13"/>
        <v>0.4048176</v>
      </c>
      <c r="Q19" s="148">
        <f t="shared" si="14"/>
        <v>0.4396888889568</v>
      </c>
      <c r="R19" s="148">
        <f t="shared" si="15"/>
        <v>4.8016818349568</v>
      </c>
      <c r="S19" s="21"/>
      <c r="T19" s="20" t="s">
        <v>56</v>
      </c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  <c r="XER19" s="21"/>
      <c r="XES19" s="21"/>
      <c r="XET19" s="21"/>
      <c r="XEU19" s="21"/>
      <c r="XEV19" s="21"/>
      <c r="XEW19" s="21"/>
      <c r="XEX19" s="21"/>
      <c r="XEY19" s="21"/>
      <c r="XEZ19" s="21"/>
      <c r="XFA19" s="21"/>
      <c r="XFB19" s="21"/>
      <c r="XFC19" s="21"/>
      <c r="XFD19" s="21"/>
    </row>
    <row r="20" s="20" customFormat="1" ht="22.5" customHeight="1" spans="1:16384">
      <c r="A20" s="47">
        <v>4</v>
      </c>
      <c r="B20" s="65" t="s">
        <v>62</v>
      </c>
      <c r="C20" s="66" t="s">
        <v>63</v>
      </c>
      <c r="D20" s="61" t="s">
        <v>27</v>
      </c>
      <c r="E20" s="119">
        <f>1.2*1.8*2</f>
        <v>4.32</v>
      </c>
      <c r="F20" s="116"/>
      <c r="G20" s="116"/>
      <c r="H20" s="122" t="s">
        <v>64</v>
      </c>
      <c r="I20" s="154">
        <f>106.27</f>
        <v>106.27</v>
      </c>
      <c r="J20" s="151">
        <f>0.2</f>
        <v>0.2</v>
      </c>
      <c r="K20" s="151"/>
      <c r="L20" s="150">
        <f t="shared" si="9"/>
        <v>24.208306</v>
      </c>
      <c r="M20" s="150">
        <f t="shared" si="10"/>
        <v>14.675887</v>
      </c>
      <c r="N20" s="150">
        <f t="shared" si="11"/>
        <v>19.622816055</v>
      </c>
      <c r="O20" s="150">
        <f t="shared" si="12"/>
        <v>21.254</v>
      </c>
      <c r="P20" s="150">
        <f t="shared" si="13"/>
        <v>19.171108</v>
      </c>
      <c r="Q20" s="150">
        <f t="shared" si="14"/>
        <v>20.704533399144</v>
      </c>
      <c r="R20" s="150">
        <f t="shared" si="15"/>
        <v>226.106650454144</v>
      </c>
      <c r="S20" s="158">
        <f>R20+R21</f>
        <v>1044.28888088826</v>
      </c>
      <c r="T20" s="20" t="s">
        <v>65</v>
      </c>
      <c r="XDY20" s="161"/>
      <c r="XDZ20" s="161"/>
      <c r="XEA20" s="161"/>
      <c r="XEB20" s="161"/>
      <c r="XEC20" s="161"/>
      <c r="XED20" s="161"/>
      <c r="XEE20" s="161"/>
      <c r="XEF20" s="161"/>
      <c r="XEG20" s="161"/>
      <c r="XEH20" s="161"/>
      <c r="XEI20" s="161"/>
      <c r="XEJ20" s="161"/>
      <c r="XEK20" s="161"/>
      <c r="XEL20" s="161"/>
      <c r="XEM20" s="161"/>
      <c r="XEN20" s="161"/>
      <c r="XEO20" s="161"/>
      <c r="XEP20" s="161"/>
      <c r="XEQ20" s="161"/>
      <c r="XER20" s="161"/>
      <c r="XES20" s="161"/>
      <c r="XET20" s="161"/>
      <c r="XEU20" s="161"/>
      <c r="XEV20" s="161"/>
      <c r="XEW20" s="161"/>
      <c r="XEX20" s="161"/>
      <c r="XEY20" s="161"/>
      <c r="XEZ20" s="161"/>
      <c r="XFA20" s="161"/>
      <c r="XFB20" s="161"/>
      <c r="XFC20" s="161"/>
      <c r="XFD20" s="161"/>
    </row>
    <row r="21" s="20" customFormat="1" ht="22.5" customHeight="1" spans="1:20">
      <c r="A21" s="47"/>
      <c r="B21" s="65"/>
      <c r="C21" s="66"/>
      <c r="D21" s="61"/>
      <c r="E21" s="119"/>
      <c r="F21" s="116"/>
      <c r="G21" s="116"/>
      <c r="H21" s="128">
        <v>37124</v>
      </c>
      <c r="I21" s="20">
        <f>27.8548</f>
        <v>27.8548</v>
      </c>
      <c r="J21" s="150">
        <v>607.4734</v>
      </c>
      <c r="K21" s="150"/>
      <c r="L21" s="150">
        <f t="shared" si="9"/>
        <v>6.34532344</v>
      </c>
      <c r="M21" s="150">
        <f t="shared" si="10"/>
        <v>3.84674788</v>
      </c>
      <c r="N21" s="150">
        <f t="shared" si="11"/>
        <v>87.1452366282</v>
      </c>
      <c r="O21" s="150">
        <f t="shared" si="12"/>
        <v>5.57096</v>
      </c>
      <c r="P21" s="150">
        <f t="shared" si="13"/>
        <v>5.02500592</v>
      </c>
      <c r="Q21" s="150">
        <f t="shared" si="14"/>
        <v>74.9207565659146</v>
      </c>
      <c r="R21" s="150">
        <f t="shared" si="15"/>
        <v>818.182230434114</v>
      </c>
      <c r="S21" s="158"/>
      <c r="T21" s="20" t="s">
        <v>30</v>
      </c>
    </row>
    <row r="22" s="20" customFormat="1" ht="11" customHeight="1" spans="1:20">
      <c r="A22" s="50">
        <v>5</v>
      </c>
      <c r="B22" s="59" t="s">
        <v>66</v>
      </c>
      <c r="C22" s="66" t="s">
        <v>67</v>
      </c>
      <c r="D22" s="61" t="s">
        <v>27</v>
      </c>
      <c r="E22" s="129">
        <f>1*2.2*5+1.1*2.2*6</f>
        <v>25.52</v>
      </c>
      <c r="F22" s="114"/>
      <c r="G22" s="130"/>
      <c r="H22" s="122" t="s">
        <v>64</v>
      </c>
      <c r="I22" s="154">
        <f>106.27</f>
        <v>106.27</v>
      </c>
      <c r="J22" s="151">
        <f>0.2</f>
        <v>0.2</v>
      </c>
      <c r="K22" s="151"/>
      <c r="L22" s="148">
        <f t="shared" si="9"/>
        <v>24.208306</v>
      </c>
      <c r="M22" s="148">
        <f t="shared" si="10"/>
        <v>14.675887</v>
      </c>
      <c r="N22" s="148">
        <f t="shared" si="11"/>
        <v>19.622816055</v>
      </c>
      <c r="O22" s="148">
        <f t="shared" si="12"/>
        <v>21.254</v>
      </c>
      <c r="P22" s="148">
        <f t="shared" si="13"/>
        <v>19.171108</v>
      </c>
      <c r="Q22" s="148">
        <f t="shared" si="14"/>
        <v>20.704533399144</v>
      </c>
      <c r="R22" s="148">
        <f t="shared" si="15"/>
        <v>226.106650454144</v>
      </c>
      <c r="S22" s="155">
        <f>R22+R23</f>
        <v>1142.65165387471</v>
      </c>
      <c r="T22" s="20" t="s">
        <v>68</v>
      </c>
    </row>
    <row r="23" s="20" customFormat="1" ht="25" customHeight="1" spans="1:20">
      <c r="A23" s="50"/>
      <c r="B23" s="67"/>
      <c r="C23" s="66"/>
      <c r="D23" s="61"/>
      <c r="E23" s="131"/>
      <c r="F23" s="132"/>
      <c r="G23" s="133"/>
      <c r="H23" s="134" t="s">
        <v>69</v>
      </c>
      <c r="I23" s="154">
        <f>46.6996</f>
        <v>46.6996</v>
      </c>
      <c r="J23" s="151">
        <f>653.2694</f>
        <v>653.2694</v>
      </c>
      <c r="K23" s="151">
        <v>0.8402</v>
      </c>
      <c r="L23" s="148">
        <f t="shared" si="9"/>
        <v>10.6534806848</v>
      </c>
      <c r="M23" s="148">
        <f t="shared" si="10"/>
        <v>6.4584972896</v>
      </c>
      <c r="N23" s="148">
        <f t="shared" si="11"/>
        <v>96.919359026544</v>
      </c>
      <c r="O23" s="148">
        <f t="shared" si="12"/>
        <v>9.33992</v>
      </c>
      <c r="P23" s="148">
        <f t="shared" si="13"/>
        <v>8.4367336064</v>
      </c>
      <c r="Q23" s="148">
        <f t="shared" si="14"/>
        <v>83.9278128132203</v>
      </c>
      <c r="R23" s="148">
        <f t="shared" si="15"/>
        <v>916.545003420564</v>
      </c>
      <c r="S23" s="155"/>
      <c r="T23" s="20" t="s">
        <v>70</v>
      </c>
    </row>
    <row r="24" s="19" customFormat="1" ht="55" customHeight="1" spans="1:19">
      <c r="A24" s="68">
        <v>6</v>
      </c>
      <c r="B24" s="69" t="s">
        <v>71</v>
      </c>
      <c r="C24" s="70" t="s">
        <v>72</v>
      </c>
      <c r="D24" s="42" t="s">
        <v>27</v>
      </c>
      <c r="E24" s="135">
        <f>2.8*2.3+3.1*2.3+2*2.3+2.4*2.3+2.4*2.3+2.45*2.3</f>
        <v>34.845</v>
      </c>
      <c r="F24" s="136"/>
      <c r="G24" s="137"/>
      <c r="H24" s="122">
        <v>1820</v>
      </c>
      <c r="I24" s="154">
        <v>29.43919</v>
      </c>
      <c r="J24" s="151">
        <v>257.9124</v>
      </c>
      <c r="K24" s="151"/>
      <c r="L24" s="148">
        <v>6.706247482</v>
      </c>
      <c r="M24" s="148">
        <v>4.065552139</v>
      </c>
      <c r="N24" s="148">
        <v>10.434318636735</v>
      </c>
      <c r="O24" s="148">
        <v>5.887838</v>
      </c>
      <c r="P24" s="148">
        <v>5.310829876</v>
      </c>
      <c r="Q24" s="148">
        <v>32.2314427142805</v>
      </c>
      <c r="R24" s="148">
        <v>351.987818848015</v>
      </c>
      <c r="S24" s="148">
        <v>351.987818848015</v>
      </c>
    </row>
    <row r="25" s="19" customFormat="1" ht="25.6" spans="1:16384">
      <c r="A25" s="71">
        <v>7</v>
      </c>
      <c r="B25" s="53" t="s">
        <v>73</v>
      </c>
      <c r="C25" s="72" t="s">
        <v>74</v>
      </c>
      <c r="D25" s="50" t="s">
        <v>75</v>
      </c>
      <c r="E25" s="138">
        <v>21</v>
      </c>
      <c r="F25" s="138"/>
      <c r="G25" s="138"/>
      <c r="H25" s="112" t="s">
        <v>76</v>
      </c>
      <c r="I25" s="20">
        <f>(10.965+10.965)</f>
        <v>21.93</v>
      </c>
      <c r="J25" s="155">
        <f>38.077-37.7*1.01+120*1.01</f>
        <v>121.2</v>
      </c>
      <c r="K25" s="150"/>
      <c r="L25" s="148">
        <f t="shared" ref="L25:L32" si="17">(I25+K25*8%)*22.78%</f>
        <v>4.995654</v>
      </c>
      <c r="M25" s="148">
        <f t="shared" ref="M25:M32" si="18">(I25+K25*8%)*13.81%</f>
        <v>3.028533</v>
      </c>
      <c r="N25" s="148">
        <f t="shared" ref="N25:N29" si="19">(I25+J25+K25+L25+M25)*3.5%</f>
        <v>5.290396545</v>
      </c>
      <c r="O25" s="148">
        <f t="shared" ref="O25:O32" si="20">I25*20%</f>
        <v>4.386</v>
      </c>
      <c r="P25" s="148">
        <f t="shared" ref="P25:P32" si="21">(I25+K25*8%)*18.04%</f>
        <v>3.956172</v>
      </c>
      <c r="Q25" s="148">
        <f t="shared" ref="Q25:Q32" si="22">(I25+J25+K25+L25+M25+N25+O25+P25)*9%*(1+12%)</f>
        <v>16.610504958936</v>
      </c>
      <c r="R25" s="148">
        <f t="shared" ref="R25:R32" si="23">I25+J25+K25+L25+M25+N25+O25+P25+Q25</f>
        <v>181.397260503936</v>
      </c>
      <c r="S25" s="155">
        <f t="shared" ref="S25:S29" si="24">R25</f>
        <v>181.397260503936</v>
      </c>
      <c r="T25" s="159" t="s">
        <v>77</v>
      </c>
      <c r="XDY25" s="21"/>
      <c r="XDZ25" s="21"/>
      <c r="XEA25" s="21"/>
      <c r="XEB25" s="21"/>
      <c r="XEC25" s="21"/>
      <c r="XED25" s="21"/>
      <c r="XEE25" s="21"/>
      <c r="XEF25" s="21"/>
      <c r="XEG25" s="21"/>
      <c r="XEH25" s="21"/>
      <c r="XEI25" s="21"/>
      <c r="XEJ25" s="21"/>
      <c r="XEK25" s="21"/>
      <c r="XEL25" s="21"/>
      <c r="XEM25" s="21"/>
      <c r="XEN25" s="21"/>
      <c r="XEO25" s="21"/>
      <c r="XEP25" s="21"/>
      <c r="XEQ25" s="21"/>
      <c r="XER25" s="21"/>
      <c r="XES25" s="21"/>
      <c r="XET25" s="21"/>
      <c r="XEU25" s="21"/>
      <c r="XEV25" s="21"/>
      <c r="XEW25" s="21"/>
      <c r="XEX25" s="21"/>
      <c r="XEY25" s="21"/>
      <c r="XEZ25" s="21"/>
      <c r="XFA25" s="21"/>
      <c r="XFB25" s="21"/>
      <c r="XFC25" s="21"/>
      <c r="XFD25" s="21"/>
    </row>
    <row r="26" s="20" customFormat="1" ht="25.6" spans="1:20">
      <c r="A26" s="50">
        <v>8</v>
      </c>
      <c r="B26" s="53" t="s">
        <v>78</v>
      </c>
      <c r="C26" s="73" t="s">
        <v>79</v>
      </c>
      <c r="D26" s="43" t="s">
        <v>27</v>
      </c>
      <c r="E26" s="139">
        <f>2*2.4+2.6*1.6</f>
        <v>8.96</v>
      </c>
      <c r="F26" s="111"/>
      <c r="G26" s="111"/>
      <c r="H26" s="112" t="s">
        <v>80</v>
      </c>
      <c r="I26" s="20">
        <f>(106.27+16.53*10.75)*110%</f>
        <v>312.36425</v>
      </c>
      <c r="J26" s="150">
        <f>(0.2+0.03*10.75)*0.027</f>
        <v>0.0141075</v>
      </c>
      <c r="K26" s="150"/>
      <c r="L26" s="148">
        <f t="shared" si="17"/>
        <v>71.15657615</v>
      </c>
      <c r="M26" s="148">
        <f t="shared" si="18"/>
        <v>43.137502925</v>
      </c>
      <c r="N26" s="148">
        <f t="shared" si="19"/>
        <v>14.933535280125</v>
      </c>
      <c r="O26" s="148">
        <f t="shared" si="20"/>
        <v>62.47285</v>
      </c>
      <c r="P26" s="148">
        <f t="shared" si="21"/>
        <v>56.3505107</v>
      </c>
      <c r="Q26" s="148">
        <f t="shared" si="22"/>
        <v>56.4912767215566</v>
      </c>
      <c r="R26" s="148">
        <f t="shared" si="23"/>
        <v>616.920609276682</v>
      </c>
      <c r="S26" s="155">
        <f>R27</f>
        <v>814.115776212096</v>
      </c>
      <c r="T26" s="154" t="s">
        <v>81</v>
      </c>
    </row>
    <row r="27" s="20" customFormat="1" ht="24" customHeight="1" spans="1:20">
      <c r="A27" s="50"/>
      <c r="B27" s="53"/>
      <c r="C27" s="63"/>
      <c r="D27" s="46"/>
      <c r="E27" s="140"/>
      <c r="F27" s="132"/>
      <c r="G27" s="114"/>
      <c r="H27" s="141">
        <v>37124</v>
      </c>
      <c r="I27" s="20">
        <f>45.6247*110%</f>
        <v>50.18717</v>
      </c>
      <c r="J27" s="150">
        <v>627.5616</v>
      </c>
      <c r="K27" s="150"/>
      <c r="L27" s="148">
        <f t="shared" si="17"/>
        <v>11.432637326</v>
      </c>
      <c r="M27" s="148">
        <f t="shared" si="18"/>
        <v>6.930848177</v>
      </c>
      <c r="N27" s="148">
        <f t="shared" si="19"/>
        <v>24.363928942605</v>
      </c>
      <c r="O27" s="148">
        <f t="shared" si="20"/>
        <v>10.037434</v>
      </c>
      <c r="P27" s="148">
        <f t="shared" si="21"/>
        <v>9.053765468</v>
      </c>
      <c r="Q27" s="148">
        <f t="shared" si="22"/>
        <v>74.5483922984914</v>
      </c>
      <c r="R27" s="148">
        <f t="shared" si="23"/>
        <v>814.115776212096</v>
      </c>
      <c r="S27" s="155"/>
      <c r="T27" s="160"/>
    </row>
    <row r="28" s="19" customFormat="1" ht="25.6" spans="1:16384">
      <c r="A28" s="74">
        <v>9</v>
      </c>
      <c r="B28" s="75" t="s">
        <v>82</v>
      </c>
      <c r="C28" s="76" t="s">
        <v>83</v>
      </c>
      <c r="D28" s="64" t="s">
        <v>75</v>
      </c>
      <c r="E28" s="125">
        <v>12</v>
      </c>
      <c r="F28" s="132"/>
      <c r="G28" s="116"/>
      <c r="H28" s="112" t="s">
        <v>84</v>
      </c>
      <c r="I28" s="20">
        <f>(7.722+7.722)</f>
        <v>15.444</v>
      </c>
      <c r="J28" s="155">
        <f>38.077-37.7*1.01+35*1.01</f>
        <v>35.35</v>
      </c>
      <c r="K28" s="150"/>
      <c r="L28" s="148">
        <f t="shared" si="17"/>
        <v>3.5181432</v>
      </c>
      <c r="M28" s="148">
        <f t="shared" si="18"/>
        <v>2.1328164</v>
      </c>
      <c r="N28" s="148">
        <f t="shared" si="19"/>
        <v>1.975573586</v>
      </c>
      <c r="O28" s="148">
        <f t="shared" si="20"/>
        <v>3.0888</v>
      </c>
      <c r="P28" s="148">
        <f t="shared" si="21"/>
        <v>2.7860976</v>
      </c>
      <c r="Q28" s="148">
        <f t="shared" si="22"/>
        <v>6.4809794232288</v>
      </c>
      <c r="R28" s="148">
        <f t="shared" si="23"/>
        <v>70.7764102092288</v>
      </c>
      <c r="S28" s="155">
        <f t="shared" si="24"/>
        <v>70.7764102092288</v>
      </c>
      <c r="T28" s="160"/>
      <c r="XDY28" s="21"/>
      <c r="XDZ28" s="21"/>
      <c r="XEA28" s="21"/>
      <c r="XEB28" s="21"/>
      <c r="XEC28" s="21"/>
      <c r="XED28" s="21"/>
      <c r="XEE28" s="21"/>
      <c r="XEF28" s="21"/>
      <c r="XEG28" s="21"/>
      <c r="XEH28" s="21"/>
      <c r="XEI28" s="21"/>
      <c r="XEJ28" s="21"/>
      <c r="XEK28" s="21"/>
      <c r="XEL28" s="21"/>
      <c r="XEM28" s="21"/>
      <c r="XEN28" s="21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="19" customFormat="1" ht="33" customHeight="1" spans="1:16384">
      <c r="A29" s="74">
        <v>10</v>
      </c>
      <c r="B29" s="66" t="s">
        <v>85</v>
      </c>
      <c r="C29" s="77" t="s">
        <v>86</v>
      </c>
      <c r="D29" s="64" t="s">
        <v>53</v>
      </c>
      <c r="E29" s="125">
        <v>16</v>
      </c>
      <c r="F29" s="132"/>
      <c r="G29" s="116"/>
      <c r="H29" s="122" t="s">
        <v>37</v>
      </c>
      <c r="I29" s="156">
        <v>65</v>
      </c>
      <c r="J29" s="151">
        <v>57</v>
      </c>
      <c r="K29" s="150"/>
      <c r="L29" s="148">
        <f t="shared" si="17"/>
        <v>14.807</v>
      </c>
      <c r="M29" s="148">
        <f t="shared" si="18"/>
        <v>8.9765</v>
      </c>
      <c r="N29" s="148">
        <f t="shared" si="19"/>
        <v>5.1024225</v>
      </c>
      <c r="O29" s="148">
        <f t="shared" si="20"/>
        <v>13</v>
      </c>
      <c r="P29" s="148">
        <f t="shared" si="21"/>
        <v>11.726</v>
      </c>
      <c r="Q29" s="148">
        <f t="shared" si="22"/>
        <v>17.701681788</v>
      </c>
      <c r="R29" s="148">
        <f t="shared" si="23"/>
        <v>193.313604288</v>
      </c>
      <c r="S29" s="155">
        <f t="shared" si="24"/>
        <v>193.313604288</v>
      </c>
      <c r="T29" s="19" t="s">
        <v>87</v>
      </c>
      <c r="XDY29" s="21"/>
      <c r="XDZ29" s="21"/>
      <c r="XEA29" s="21"/>
      <c r="XEB29" s="21"/>
      <c r="XEC29" s="21"/>
      <c r="XED29" s="21"/>
      <c r="XEE29" s="21"/>
      <c r="XEF29" s="21"/>
      <c r="XEG29" s="21"/>
      <c r="XEH29" s="21"/>
      <c r="XEI29" s="21"/>
      <c r="XEJ29" s="21"/>
      <c r="XEK29" s="21"/>
      <c r="XEL29" s="21"/>
      <c r="XEM29" s="21"/>
      <c r="XEN29" s="21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="19" customFormat="1" ht="15.5" customHeight="1" spans="1:16384">
      <c r="A30" s="78">
        <v>11</v>
      </c>
      <c r="B30" s="58" t="s">
        <v>88</v>
      </c>
      <c r="C30" s="79" t="s">
        <v>89</v>
      </c>
      <c r="D30" s="45" t="s">
        <v>27</v>
      </c>
      <c r="E30" s="123">
        <f>1*2.2*4</f>
        <v>8.8</v>
      </c>
      <c r="F30" s="114"/>
      <c r="G30" s="111"/>
      <c r="H30" s="122" t="s">
        <v>64</v>
      </c>
      <c r="I30" s="154">
        <f>106.27</f>
        <v>106.27</v>
      </c>
      <c r="J30" s="151">
        <f>0.2</f>
        <v>0.2</v>
      </c>
      <c r="K30" s="151"/>
      <c r="L30" s="148">
        <f t="shared" si="17"/>
        <v>24.208306</v>
      </c>
      <c r="M30" s="148">
        <f t="shared" si="18"/>
        <v>14.675887</v>
      </c>
      <c r="N30" s="148">
        <f>(I30+J30+K30+L30+M30)*13.5%</f>
        <v>19.622816055</v>
      </c>
      <c r="O30" s="148">
        <f t="shared" si="20"/>
        <v>21.254</v>
      </c>
      <c r="P30" s="148">
        <f t="shared" si="21"/>
        <v>19.171108</v>
      </c>
      <c r="Q30" s="148">
        <f t="shared" si="22"/>
        <v>20.704533399144</v>
      </c>
      <c r="R30" s="148">
        <f t="shared" si="23"/>
        <v>226.106650454144</v>
      </c>
      <c r="S30" s="155">
        <f>R30+R31</f>
        <v>887.052235039786</v>
      </c>
      <c r="XDY30" s="21"/>
      <c r="XDZ30" s="21"/>
      <c r="XEA30" s="21"/>
      <c r="XEB30" s="21"/>
      <c r="XEC30" s="21"/>
      <c r="XED30" s="21"/>
      <c r="XEE30" s="21"/>
      <c r="XEF30" s="21"/>
      <c r="XEG30" s="21"/>
      <c r="XEH30" s="21"/>
      <c r="XEI30" s="21"/>
      <c r="XEJ30" s="21"/>
      <c r="XEK30" s="21"/>
      <c r="XEL30" s="21"/>
      <c r="XEM30" s="21"/>
      <c r="XEN30" s="21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="19" customFormat="1" ht="15.5" customHeight="1" spans="1:16384">
      <c r="A31" s="74"/>
      <c r="B31" s="80"/>
      <c r="C31" s="77"/>
      <c r="D31" s="64"/>
      <c r="E31" s="125"/>
      <c r="F31" s="132"/>
      <c r="G31" s="132"/>
      <c r="H31" s="142">
        <v>37124</v>
      </c>
      <c r="I31" s="20">
        <f>18.1174*110%</f>
        <v>19.92914</v>
      </c>
      <c r="J31" s="150">
        <f>545.5729</f>
        <v>545.5729</v>
      </c>
      <c r="K31" s="150"/>
      <c r="L31" s="148">
        <f t="shared" si="17"/>
        <v>4.539858092</v>
      </c>
      <c r="M31" s="148">
        <f t="shared" si="18"/>
        <v>2.752214234</v>
      </c>
      <c r="N31" s="148">
        <f>(I31+J31+K31+L31+M31)*3.5%</f>
        <v>20.04779393141</v>
      </c>
      <c r="O31" s="148">
        <f t="shared" si="20"/>
        <v>3.985828</v>
      </c>
      <c r="P31" s="148">
        <f t="shared" si="21"/>
        <v>3.595216856</v>
      </c>
      <c r="Q31" s="148">
        <f t="shared" si="22"/>
        <v>60.5226334722317</v>
      </c>
      <c r="R31" s="148">
        <f t="shared" si="23"/>
        <v>660.945584585642</v>
      </c>
      <c r="S31" s="155"/>
      <c r="XDY31" s="21"/>
      <c r="XDZ31" s="21"/>
      <c r="XEA31" s="21"/>
      <c r="XEB31" s="21"/>
      <c r="XEC31" s="21"/>
      <c r="XED31" s="21"/>
      <c r="XEE31" s="21"/>
      <c r="XEF31" s="21"/>
      <c r="XEG31" s="21"/>
      <c r="XEH31" s="21"/>
      <c r="XEI31" s="21"/>
      <c r="XEJ31" s="21"/>
      <c r="XEK31" s="21"/>
      <c r="XEL31" s="21"/>
      <c r="XEM31" s="21"/>
      <c r="XEN31" s="21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="19" customFormat="1" ht="44" customHeight="1" spans="1:16384">
      <c r="A32" s="74">
        <v>12</v>
      </c>
      <c r="B32" s="80" t="s">
        <v>90</v>
      </c>
      <c r="C32" s="77" t="s">
        <v>91</v>
      </c>
      <c r="D32" s="64" t="s">
        <v>27</v>
      </c>
      <c r="E32" s="125">
        <f>0.9*2.1*2*6</f>
        <v>22.68</v>
      </c>
      <c r="F32" s="132"/>
      <c r="G32" s="116"/>
      <c r="H32" s="122" t="s">
        <v>92</v>
      </c>
      <c r="I32" s="154">
        <f>32.3442</f>
        <v>32.3442</v>
      </c>
      <c r="J32" s="151">
        <v>14.7197</v>
      </c>
      <c r="K32" s="150"/>
      <c r="L32" s="148">
        <f t="shared" si="17"/>
        <v>7.36800876</v>
      </c>
      <c r="M32" s="148">
        <f t="shared" si="18"/>
        <v>4.46673402</v>
      </c>
      <c r="N32" s="148">
        <f>(I32+J32+K32+L32+M32)*3.5%</f>
        <v>2.0614524973</v>
      </c>
      <c r="O32" s="148">
        <f t="shared" si="20"/>
        <v>6.46884</v>
      </c>
      <c r="P32" s="148">
        <f t="shared" si="21"/>
        <v>5.83489368</v>
      </c>
      <c r="Q32" s="148">
        <f t="shared" si="22"/>
        <v>7.38499395889584</v>
      </c>
      <c r="R32" s="148">
        <f t="shared" si="23"/>
        <v>80.6488229161959</v>
      </c>
      <c r="S32" s="155">
        <f>R32</f>
        <v>80.6488229161959</v>
      </c>
      <c r="XDY32" s="21"/>
      <c r="XDZ32" s="21"/>
      <c r="XEA32" s="21"/>
      <c r="XEB32" s="21"/>
      <c r="XEC32" s="21"/>
      <c r="XED32" s="21"/>
      <c r="XEE32" s="21"/>
      <c r="XEF32" s="21"/>
      <c r="XEG32" s="21"/>
      <c r="XEH32" s="21"/>
      <c r="XEI32" s="21"/>
      <c r="XEJ32" s="21"/>
      <c r="XEK32" s="21"/>
      <c r="XEL32" s="21"/>
      <c r="XEM32" s="21"/>
      <c r="XEN32" s="21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="19" customFormat="1" ht="22" customHeight="1" spans="1:16384">
      <c r="A33" s="54" t="s">
        <v>93</v>
      </c>
      <c r="B33" s="55" t="s">
        <v>94</v>
      </c>
      <c r="C33" s="38" t="s">
        <v>50</v>
      </c>
      <c r="D33" s="57" t="s">
        <v>24</v>
      </c>
      <c r="E33" s="121"/>
      <c r="F33" s="54"/>
      <c r="G33" s="109"/>
      <c r="H33" s="122"/>
      <c r="I33" s="154"/>
      <c r="J33" s="151"/>
      <c r="K33" s="151"/>
      <c r="L33" s="148"/>
      <c r="M33" s="148"/>
      <c r="N33" s="148"/>
      <c r="O33" s="148"/>
      <c r="P33" s="148"/>
      <c r="Q33" s="148"/>
      <c r="R33" s="148"/>
      <c r="S33" s="155"/>
      <c r="XDY33" s="21"/>
      <c r="XDZ33" s="21"/>
      <c r="XEA33" s="21"/>
      <c r="XEB33" s="21"/>
      <c r="XEC33" s="21"/>
      <c r="XED33" s="21"/>
      <c r="XEE33" s="21"/>
      <c r="XEF33" s="21"/>
      <c r="XEG33" s="21"/>
      <c r="XEH33" s="21"/>
      <c r="XEI33" s="21"/>
      <c r="XEJ33" s="21"/>
      <c r="XEK33" s="21"/>
      <c r="XEL33" s="21"/>
      <c r="XEM33" s="21"/>
      <c r="XEN33" s="21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="19" customFormat="1" ht="15" customHeight="1" spans="1:16384">
      <c r="A34" s="81">
        <v>1</v>
      </c>
      <c r="B34" s="48" t="s">
        <v>95</v>
      </c>
      <c r="C34" s="82" t="s">
        <v>96</v>
      </c>
      <c r="D34" s="83" t="s">
        <v>27</v>
      </c>
      <c r="E34" s="110">
        <f>5.7*3.6*2+(3.5+5.4)*3.6+3.8*3.3+6.9*3.3+2.9*3.3*2+3.3*3.3+1.2*3.3+1*2.2*2+3.2*3.3+2.5*2.6</f>
        <v>163.84</v>
      </c>
      <c r="F34" s="111"/>
      <c r="G34" s="111"/>
      <c r="H34" s="122" t="s">
        <v>97</v>
      </c>
      <c r="I34" s="154">
        <f>4.9776</f>
        <v>4.9776</v>
      </c>
      <c r="J34" s="151">
        <v>0.5749</v>
      </c>
      <c r="K34" s="151">
        <v>0.5996</v>
      </c>
      <c r="L34" s="148">
        <f t="shared" ref="L34:L40" si="25">(I34+K34*8%)*22.78%</f>
        <v>1.1448243904</v>
      </c>
      <c r="M34" s="148">
        <f t="shared" ref="M34:M40" si="26">(I34+K34*8%)*13.81%</f>
        <v>0.6940309408</v>
      </c>
      <c r="N34" s="148">
        <f>(I34+J34+K34+L34+M34)*13.5%</f>
        <v>1.078778969712</v>
      </c>
      <c r="O34" s="148">
        <f t="shared" ref="O34:O40" si="27">I34*20%</f>
        <v>0.99552</v>
      </c>
      <c r="P34" s="148">
        <f t="shared" ref="P34:P40" si="28">(I34+K34*8%)*18.04%</f>
        <v>0.9066124672</v>
      </c>
      <c r="Q34" s="148">
        <f t="shared" ref="Q34:Q40" si="29">(I34+J34+K34+L34+M34+N34+O34+P34)*9%*(1+12%)</f>
        <v>1.10596417022569</v>
      </c>
      <c r="R34" s="148">
        <f t="shared" ref="R34:R40" si="30">I34+J34+K34+L34+M34+N34+O34+P34+Q34</f>
        <v>12.0778309383377</v>
      </c>
      <c r="S34" s="155">
        <f>R34+R35+R36+R37</f>
        <v>68.2169013250513</v>
      </c>
      <c r="T34" s="19" t="s">
        <v>30</v>
      </c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="19" customFormat="1" ht="15" customHeight="1" spans="1:16384">
      <c r="A35" s="81"/>
      <c r="B35" s="48"/>
      <c r="C35" s="79"/>
      <c r="D35" s="84"/>
      <c r="E35" s="113"/>
      <c r="F35" s="114"/>
      <c r="G35" s="114"/>
      <c r="H35" s="124" t="s">
        <v>98</v>
      </c>
      <c r="I35" s="154">
        <f>11.69</f>
        <v>11.69</v>
      </c>
      <c r="J35" s="151"/>
      <c r="K35" s="151"/>
      <c r="L35" s="148">
        <f t="shared" si="25"/>
        <v>2.662982</v>
      </c>
      <c r="M35" s="148">
        <f t="shared" si="26"/>
        <v>1.614389</v>
      </c>
      <c r="N35" s="148">
        <f t="shared" ref="N35:N40" si="31">(I35+J35+K35+L35+M35)*13.5%</f>
        <v>2.155595085</v>
      </c>
      <c r="O35" s="148">
        <f t="shared" si="27"/>
        <v>2.338</v>
      </c>
      <c r="P35" s="148">
        <f t="shared" si="28"/>
        <v>2.108876</v>
      </c>
      <c r="Q35" s="148">
        <f t="shared" si="29"/>
        <v>2.275040082168</v>
      </c>
      <c r="R35" s="148">
        <f t="shared" si="30"/>
        <v>24.844882167168</v>
      </c>
      <c r="S35" s="155"/>
      <c r="T35" s="19" t="s">
        <v>99</v>
      </c>
      <c r="XDY35" s="21"/>
      <c r="XDZ35" s="21"/>
      <c r="XEA35" s="21"/>
      <c r="XEB35" s="21"/>
      <c r="XEC35" s="21"/>
      <c r="XED35" s="21"/>
      <c r="XEE35" s="21"/>
      <c r="XEF35" s="21"/>
      <c r="XEG35" s="21"/>
      <c r="XEH35" s="21"/>
      <c r="XEI35" s="21"/>
      <c r="XEJ35" s="21"/>
      <c r="XEK35" s="21"/>
      <c r="XEL35" s="21"/>
      <c r="XEM35" s="21"/>
      <c r="XEN35" s="21"/>
      <c r="XEO35" s="21"/>
      <c r="XEP35" s="21"/>
      <c r="XEQ35" s="21"/>
      <c r="XER35" s="21"/>
      <c r="XES35" s="21"/>
      <c r="XET35" s="21"/>
      <c r="XEU35" s="21"/>
      <c r="XEV35" s="21"/>
      <c r="XEW35" s="21"/>
      <c r="XEX35" s="21"/>
      <c r="XEY35" s="21"/>
      <c r="XEZ35" s="21"/>
      <c r="XFA35" s="21"/>
      <c r="XFB35" s="21"/>
      <c r="XFC35" s="21"/>
      <c r="XFD35" s="21"/>
    </row>
    <row r="36" s="19" customFormat="1" ht="15" customHeight="1" spans="1:16384">
      <c r="A36" s="81"/>
      <c r="B36" s="48"/>
      <c r="C36" s="79"/>
      <c r="D36" s="84"/>
      <c r="E36" s="113"/>
      <c r="F36" s="114"/>
      <c r="G36" s="114"/>
      <c r="H36" s="112" t="s">
        <v>100</v>
      </c>
      <c r="I36" s="20">
        <f>2.508</f>
        <v>2.508</v>
      </c>
      <c r="J36" s="150">
        <v>0.0047</v>
      </c>
      <c r="K36" s="150"/>
      <c r="L36" s="148">
        <f t="shared" si="25"/>
        <v>0.5713224</v>
      </c>
      <c r="M36" s="148">
        <f t="shared" si="26"/>
        <v>0.3463548</v>
      </c>
      <c r="N36" s="148">
        <f t="shared" si="31"/>
        <v>0.463100922</v>
      </c>
      <c r="O36" s="148">
        <f t="shared" si="27"/>
        <v>0.5016</v>
      </c>
      <c r="P36" s="148">
        <f t="shared" si="28"/>
        <v>0.4524432</v>
      </c>
      <c r="Q36" s="148">
        <f t="shared" si="29"/>
        <v>0.4886301492576</v>
      </c>
      <c r="R36" s="148">
        <f t="shared" si="30"/>
        <v>5.3361514712576</v>
      </c>
      <c r="S36" s="155"/>
      <c r="T36" s="19" t="s">
        <v>101</v>
      </c>
      <c r="XDY36" s="21"/>
      <c r="XDZ36" s="21"/>
      <c r="XEA36" s="21"/>
      <c r="XEB36" s="21"/>
      <c r="XEC36" s="21"/>
      <c r="XED36" s="21"/>
      <c r="XEE36" s="21"/>
      <c r="XEF36" s="21"/>
      <c r="XEG36" s="21"/>
      <c r="XEH36" s="21"/>
      <c r="XEI36" s="21"/>
      <c r="XEJ36" s="21"/>
      <c r="XEK36" s="21"/>
      <c r="XEL36" s="21"/>
      <c r="XEM36" s="21"/>
      <c r="XEN36" s="21"/>
      <c r="XEO36" s="21"/>
      <c r="XEP36" s="21"/>
      <c r="XEQ36" s="21"/>
      <c r="XER36" s="21"/>
      <c r="XES36" s="21"/>
      <c r="XET36" s="21"/>
      <c r="XEU36" s="21"/>
      <c r="XEV36" s="21"/>
      <c r="XEW36" s="21"/>
      <c r="XEX36" s="21"/>
      <c r="XEY36" s="21"/>
      <c r="XEZ36" s="21"/>
      <c r="XFA36" s="21"/>
      <c r="XFB36" s="21"/>
      <c r="XFC36" s="21"/>
      <c r="XFD36" s="21"/>
    </row>
    <row r="37" s="19" customFormat="1" ht="9" customHeight="1" spans="1:16384">
      <c r="A37" s="81"/>
      <c r="B37" s="48"/>
      <c r="C37" s="77"/>
      <c r="D37" s="85"/>
      <c r="E37" s="143"/>
      <c r="F37" s="132"/>
      <c r="G37" s="132"/>
      <c r="H37" s="112" t="s">
        <v>31</v>
      </c>
      <c r="I37" s="20"/>
      <c r="J37" s="150"/>
      <c r="K37" s="151">
        <f>200/10</f>
        <v>20</v>
      </c>
      <c r="L37" s="150">
        <f t="shared" si="25"/>
        <v>0.36448</v>
      </c>
      <c r="M37" s="150">
        <f t="shared" si="26"/>
        <v>0.22096</v>
      </c>
      <c r="N37" s="150">
        <f>(I37+J37+K37+L37+M37)*13.15%</f>
        <v>2.70698536</v>
      </c>
      <c r="O37" s="150">
        <f t="shared" si="27"/>
        <v>0</v>
      </c>
      <c r="P37" s="150">
        <f t="shared" si="28"/>
        <v>0.28864</v>
      </c>
      <c r="Q37" s="150">
        <f t="shared" si="29"/>
        <v>2.376971388288</v>
      </c>
      <c r="R37" s="150">
        <f t="shared" si="30"/>
        <v>25.958036748288</v>
      </c>
      <c r="S37" s="155"/>
      <c r="T37" s="19" t="s">
        <v>32</v>
      </c>
      <c r="XDY37" s="21"/>
      <c r="XDZ37" s="21"/>
      <c r="XEA37" s="21"/>
      <c r="XEB37" s="21"/>
      <c r="XEC37" s="21"/>
      <c r="XED37" s="21"/>
      <c r="XEE37" s="21"/>
      <c r="XEF37" s="21"/>
      <c r="XEG37" s="21"/>
      <c r="XEH37" s="21"/>
      <c r="XEI37" s="21"/>
      <c r="XEJ37" s="21"/>
      <c r="XEK37" s="21"/>
      <c r="XEL37" s="21"/>
      <c r="XEM37" s="21"/>
      <c r="XEN37" s="21"/>
      <c r="XEO37" s="21"/>
      <c r="XEP37" s="21"/>
      <c r="XEQ37" s="21"/>
      <c r="XER37" s="21"/>
      <c r="XES37" s="21"/>
      <c r="XET37" s="21"/>
      <c r="XEU37" s="21"/>
      <c r="XEV37" s="21"/>
      <c r="XEW37" s="21"/>
      <c r="XEX37" s="21"/>
      <c r="XEY37" s="21"/>
      <c r="XEZ37" s="21"/>
      <c r="XFA37" s="21"/>
      <c r="XFB37" s="21"/>
      <c r="XFC37" s="21"/>
      <c r="XFD37" s="21"/>
    </row>
    <row r="38" s="19" customFormat="1" ht="15" customHeight="1" spans="1:16384">
      <c r="A38" s="71">
        <v>2</v>
      </c>
      <c r="B38" s="86" t="s">
        <v>102</v>
      </c>
      <c r="C38" s="87" t="s">
        <v>103</v>
      </c>
      <c r="D38" s="83" t="s">
        <v>42</v>
      </c>
      <c r="E38" s="110">
        <f>5.7*2*1.2*0.3+(4.8+2.5+4.8+2.02+2.9+2.3+3.5+3.62+5.35+4.67+2.3)*3*0.24</f>
        <v>32.0112</v>
      </c>
      <c r="F38" s="111"/>
      <c r="G38" s="111"/>
      <c r="H38" s="112" t="s">
        <v>104</v>
      </c>
      <c r="I38" s="20">
        <v>90.45</v>
      </c>
      <c r="J38" s="152"/>
      <c r="K38" s="153"/>
      <c r="L38" s="148">
        <f t="shared" si="25"/>
        <v>20.60451</v>
      </c>
      <c r="M38" s="148">
        <f t="shared" si="26"/>
        <v>12.491145</v>
      </c>
      <c r="N38" s="148">
        <f t="shared" si="31"/>
        <v>16.678663425</v>
      </c>
      <c r="O38" s="148">
        <f t="shared" si="27"/>
        <v>18.09</v>
      </c>
      <c r="P38" s="148">
        <f t="shared" si="28"/>
        <v>16.31718</v>
      </c>
      <c r="Q38" s="148">
        <f t="shared" si="29"/>
        <v>17.60285504124</v>
      </c>
      <c r="R38" s="148">
        <f t="shared" si="30"/>
        <v>192.23435346624</v>
      </c>
      <c r="S38" s="155">
        <f>R38+R39+R40+R41</f>
        <v>560.332004702447</v>
      </c>
      <c r="T38" s="19" t="s">
        <v>105</v>
      </c>
      <c r="XDY38" s="21"/>
      <c r="XDZ38" s="21"/>
      <c r="XEA38" s="21"/>
      <c r="XEB38" s="21"/>
      <c r="XEC38" s="21"/>
      <c r="XED38" s="21"/>
      <c r="XEE38" s="21"/>
      <c r="XEF38" s="21"/>
      <c r="XEG38" s="21"/>
      <c r="XEH38" s="21"/>
      <c r="XEI38" s="21"/>
      <c r="XEJ38" s="21"/>
      <c r="XEK38" s="21"/>
      <c r="XEL38" s="21"/>
      <c r="XEM38" s="21"/>
      <c r="XEN38" s="21"/>
      <c r="XEO38" s="21"/>
      <c r="XEP38" s="21"/>
      <c r="XEQ38" s="21"/>
      <c r="XER38" s="21"/>
      <c r="XES38" s="21"/>
      <c r="XET38" s="21"/>
      <c r="XEU38" s="21"/>
      <c r="XEV38" s="21"/>
      <c r="XEW38" s="21"/>
      <c r="XEX38" s="21"/>
      <c r="XEY38" s="21"/>
      <c r="XEZ38" s="21"/>
      <c r="XFA38" s="21"/>
      <c r="XFB38" s="21"/>
      <c r="XFC38" s="21"/>
      <c r="XFD38" s="21"/>
    </row>
    <row r="39" s="19" customFormat="1" ht="15" customHeight="1" spans="1:16384">
      <c r="A39" s="71"/>
      <c r="B39" s="88"/>
      <c r="C39" s="89"/>
      <c r="D39" s="84"/>
      <c r="E39" s="113"/>
      <c r="F39" s="114"/>
      <c r="G39" s="114"/>
      <c r="H39" s="112" t="s">
        <v>38</v>
      </c>
      <c r="I39" s="20">
        <f>51.129</f>
        <v>51.129</v>
      </c>
      <c r="J39" s="150"/>
      <c r="K39" s="150"/>
      <c r="L39" s="148">
        <f t="shared" si="25"/>
        <v>11.6471862</v>
      </c>
      <c r="M39" s="148">
        <f t="shared" si="26"/>
        <v>7.0609149</v>
      </c>
      <c r="N39" s="148">
        <f t="shared" si="31"/>
        <v>9.4280086485</v>
      </c>
      <c r="O39" s="148">
        <f t="shared" si="27"/>
        <v>10.2258</v>
      </c>
      <c r="P39" s="148">
        <f t="shared" si="28"/>
        <v>9.2236716</v>
      </c>
      <c r="Q39" s="148">
        <f t="shared" si="29"/>
        <v>9.9504297999288</v>
      </c>
      <c r="R39" s="148">
        <f t="shared" si="30"/>
        <v>108.665011148429</v>
      </c>
      <c r="S39" s="155"/>
      <c r="T39" s="19" t="s">
        <v>106</v>
      </c>
      <c r="XDY39" s="21"/>
      <c r="XDZ39" s="21"/>
      <c r="XEA39" s="21"/>
      <c r="XEB39" s="21"/>
      <c r="XEC39" s="21"/>
      <c r="XED39" s="21"/>
      <c r="XEE39" s="21"/>
      <c r="XEF39" s="21"/>
      <c r="XEG39" s="21"/>
      <c r="XEH39" s="21"/>
      <c r="XEI39" s="21"/>
      <c r="XEJ39" s="21"/>
      <c r="XEK39" s="21"/>
      <c r="XEL39" s="21"/>
      <c r="XEM39" s="21"/>
      <c r="XEN39" s="21"/>
      <c r="XEO39" s="21"/>
      <c r="XEP39" s="21"/>
      <c r="XEQ39" s="21"/>
      <c r="XER39" s="21"/>
      <c r="XES39" s="21"/>
      <c r="XET39" s="21"/>
      <c r="XEU39" s="21"/>
      <c r="XEV39" s="21"/>
      <c r="XEW39" s="21"/>
      <c r="XEX39" s="21"/>
      <c r="XEY39" s="21"/>
      <c r="XEZ39" s="21"/>
      <c r="XFA39" s="21"/>
      <c r="XFB39" s="21"/>
      <c r="XFC39" s="21"/>
      <c r="XFD39" s="21"/>
    </row>
    <row r="40" s="20" customFormat="1" ht="15" customHeight="1" spans="1:16384">
      <c r="A40" s="71"/>
      <c r="B40" s="90"/>
      <c r="C40" s="91"/>
      <c r="D40" s="92"/>
      <c r="E40" s="113"/>
      <c r="F40" s="114"/>
      <c r="G40" s="114"/>
      <c r="H40" s="112" t="s">
        <v>37</v>
      </c>
      <c r="J40" s="150"/>
      <c r="K40" s="150">
        <v>190</v>
      </c>
      <c r="L40" s="148">
        <f t="shared" si="25"/>
        <v>3.46256</v>
      </c>
      <c r="M40" s="148">
        <f t="shared" si="26"/>
        <v>2.09912</v>
      </c>
      <c r="N40" s="148">
        <f t="shared" si="31"/>
        <v>26.4008268</v>
      </c>
      <c r="O40" s="148">
        <f t="shared" si="27"/>
        <v>0</v>
      </c>
      <c r="P40" s="148">
        <f t="shared" si="28"/>
        <v>2.74208</v>
      </c>
      <c r="Q40" s="148">
        <f t="shared" si="29"/>
        <v>22.65022234944</v>
      </c>
      <c r="R40" s="148">
        <f t="shared" si="30"/>
        <v>247.35480914944</v>
      </c>
      <c r="S40" s="155"/>
      <c r="XDY40" s="161"/>
      <c r="XDZ40" s="161"/>
      <c r="XEA40" s="161"/>
      <c r="XEB40" s="161"/>
      <c r="XEC40" s="161"/>
      <c r="XED40" s="161"/>
      <c r="XEE40" s="161"/>
      <c r="XEF40" s="161"/>
      <c r="XEG40" s="161"/>
      <c r="XEH40" s="161"/>
      <c r="XEI40" s="161"/>
      <c r="XEJ40" s="161"/>
      <c r="XEK40" s="161"/>
      <c r="XEL40" s="161"/>
      <c r="XEM40" s="161"/>
      <c r="XEN40" s="161"/>
      <c r="XEO40" s="161"/>
      <c r="XEP40" s="161"/>
      <c r="XEQ40" s="161"/>
      <c r="XER40" s="161"/>
      <c r="XES40" s="161"/>
      <c r="XET40" s="161"/>
      <c r="XEU40" s="161"/>
      <c r="XEV40" s="161"/>
      <c r="XEW40" s="161"/>
      <c r="XEX40" s="161"/>
      <c r="XEY40" s="161"/>
      <c r="XEZ40" s="161"/>
      <c r="XFA40" s="161"/>
      <c r="XFB40" s="161"/>
      <c r="XFC40" s="161"/>
      <c r="XFD40" s="161"/>
    </row>
    <row r="41" s="20" customFormat="1" ht="10" customHeight="1" spans="1:16384">
      <c r="A41" s="71"/>
      <c r="B41" s="93"/>
      <c r="C41" s="91"/>
      <c r="D41" s="94"/>
      <c r="E41" s="143"/>
      <c r="F41" s="132"/>
      <c r="G41" s="132"/>
      <c r="H41" s="122" t="s">
        <v>97</v>
      </c>
      <c r="I41" s="154">
        <f>4.9776</f>
        <v>4.9776</v>
      </c>
      <c r="J41" s="151">
        <v>0.5749</v>
      </c>
      <c r="K41" s="151">
        <v>0.5996</v>
      </c>
      <c r="L41" s="150">
        <f t="shared" ref="L41:L44" si="32">(I41+K41*8%)*22.78%</f>
        <v>1.1448243904</v>
      </c>
      <c r="M41" s="150">
        <f t="shared" ref="M41:M44" si="33">(I41+K41*8%)*13.81%</f>
        <v>0.6940309408</v>
      </c>
      <c r="N41" s="150">
        <f t="shared" ref="N41:N44" si="34">(I41+J41+K41+L41+M41)*13.5%</f>
        <v>1.078778969712</v>
      </c>
      <c r="O41" s="150">
        <f t="shared" ref="O41:O44" si="35">I41*20%</f>
        <v>0.99552</v>
      </c>
      <c r="P41" s="150">
        <f t="shared" ref="P41:P44" si="36">(I41+K41*8%)*18.04%</f>
        <v>0.9066124672</v>
      </c>
      <c r="Q41" s="150">
        <f t="shared" ref="Q41:Q44" si="37">(I41+J41+K41+L41+M41+N41+O41+P41)*9%*(1+12%)</f>
        <v>1.10596417022569</v>
      </c>
      <c r="R41" s="150">
        <f t="shared" ref="R41:R44" si="38">I41+J41+K41+L41+M41+N41+O41+P41+Q41</f>
        <v>12.0778309383377</v>
      </c>
      <c r="S41" s="155"/>
      <c r="T41" s="20" t="s">
        <v>30</v>
      </c>
      <c r="XDY41" s="161"/>
      <c r="XDZ41" s="161"/>
      <c r="XEA41" s="161"/>
      <c r="XEB41" s="161"/>
      <c r="XEC41" s="161"/>
      <c r="XED41" s="161"/>
      <c r="XEE41" s="161"/>
      <c r="XEF41" s="161"/>
      <c r="XEG41" s="161"/>
      <c r="XEH41" s="161"/>
      <c r="XEI41" s="161"/>
      <c r="XEJ41" s="161"/>
      <c r="XEK41" s="161"/>
      <c r="XEL41" s="161"/>
      <c r="XEM41" s="161"/>
      <c r="XEN41" s="161"/>
      <c r="XEO41" s="161"/>
      <c r="XEP41" s="161"/>
      <c r="XEQ41" s="161"/>
      <c r="XER41" s="161"/>
      <c r="XES41" s="161"/>
      <c r="XET41" s="161"/>
      <c r="XEU41" s="161"/>
      <c r="XEV41" s="161"/>
      <c r="XEW41" s="161"/>
      <c r="XEX41" s="161"/>
      <c r="XEY41" s="161"/>
      <c r="XEZ41" s="161"/>
      <c r="XFA41" s="161"/>
      <c r="XFB41" s="161"/>
      <c r="XFC41" s="161"/>
      <c r="XFD41" s="161"/>
    </row>
    <row r="42" s="19" customFormat="1" ht="15" customHeight="1" spans="1:16384">
      <c r="A42" s="47">
        <v>3</v>
      </c>
      <c r="B42" s="86" t="s">
        <v>107</v>
      </c>
      <c r="C42" s="87" t="s">
        <v>108</v>
      </c>
      <c r="D42" s="83" t="s">
        <v>27</v>
      </c>
      <c r="E42" s="110">
        <f>3.8*1*2+5.5*0.12*4+3.8*0.12*4+1.2*1.1*2+3.3*2*0.12+2.7*0.12*2+5.3*1.2*5+2.9*3.4+1.8*3.4</f>
        <v>63.924</v>
      </c>
      <c r="F42" s="111"/>
      <c r="G42" s="111"/>
      <c r="H42" s="112" t="s">
        <v>109</v>
      </c>
      <c r="I42" s="20">
        <v>9.328</v>
      </c>
      <c r="J42" s="152"/>
      <c r="K42" s="153"/>
      <c r="L42" s="148">
        <f t="shared" si="32"/>
        <v>2.1249184</v>
      </c>
      <c r="M42" s="148">
        <f t="shared" si="33"/>
        <v>1.2881968</v>
      </c>
      <c r="N42" s="148">
        <f t="shared" si="34"/>
        <v>1.720050552</v>
      </c>
      <c r="O42" s="148">
        <f t="shared" si="35"/>
        <v>1.8656</v>
      </c>
      <c r="P42" s="148">
        <f t="shared" si="36"/>
        <v>1.6827712</v>
      </c>
      <c r="Q42" s="148">
        <f t="shared" si="37"/>
        <v>1.8153613247616</v>
      </c>
      <c r="R42" s="148">
        <f t="shared" si="38"/>
        <v>19.8248982767616</v>
      </c>
      <c r="S42" s="155">
        <f>R42+R43+R44+R45</f>
        <v>47.5304200070242</v>
      </c>
      <c r="T42" s="19" t="s">
        <v>36</v>
      </c>
      <c r="XDY42" s="21"/>
      <c r="XDZ42" s="21"/>
      <c r="XEA42" s="21"/>
      <c r="XEB42" s="21"/>
      <c r="XEC42" s="21"/>
      <c r="XED42" s="21"/>
      <c r="XEE42" s="21"/>
      <c r="XEF42" s="21"/>
      <c r="XEG42" s="21"/>
      <c r="XEH42" s="21"/>
      <c r="XEI42" s="21"/>
      <c r="XEJ42" s="21"/>
      <c r="XEK42" s="21"/>
      <c r="XEL42" s="21"/>
      <c r="XEM42" s="21"/>
      <c r="XEN42" s="21"/>
      <c r="XEO42" s="21"/>
      <c r="XEP42" s="21"/>
      <c r="XEQ42" s="21"/>
      <c r="XER42" s="21"/>
      <c r="XES42" s="21"/>
      <c r="XET42" s="21"/>
      <c r="XEU42" s="21"/>
      <c r="XEV42" s="21"/>
      <c r="XEW42" s="21"/>
      <c r="XEX42" s="21"/>
      <c r="XEY42" s="21"/>
      <c r="XEZ42" s="21"/>
      <c r="XFA42" s="21"/>
      <c r="XFB42" s="21"/>
      <c r="XFC42" s="21"/>
      <c r="XFD42" s="21"/>
    </row>
    <row r="43" s="19" customFormat="1" ht="15" customHeight="1" spans="1:16384">
      <c r="A43" s="47"/>
      <c r="B43" s="88"/>
      <c r="C43" s="89"/>
      <c r="D43" s="84"/>
      <c r="E43" s="113"/>
      <c r="F43" s="114"/>
      <c r="G43" s="114"/>
      <c r="H43" s="112" t="s">
        <v>38</v>
      </c>
      <c r="I43" s="20">
        <f>51.129*0.03</f>
        <v>1.53387</v>
      </c>
      <c r="J43" s="150"/>
      <c r="K43" s="150"/>
      <c r="L43" s="148">
        <f t="shared" si="32"/>
        <v>0.349415586</v>
      </c>
      <c r="M43" s="148">
        <f t="shared" si="33"/>
        <v>0.211827447</v>
      </c>
      <c r="N43" s="148">
        <f t="shared" si="34"/>
        <v>0.282840259455</v>
      </c>
      <c r="O43" s="148">
        <f t="shared" si="35"/>
        <v>0.306774</v>
      </c>
      <c r="P43" s="148">
        <f t="shared" si="36"/>
        <v>0.276710148</v>
      </c>
      <c r="Q43" s="148">
        <f t="shared" si="37"/>
        <v>0.298512893997864</v>
      </c>
      <c r="R43" s="148">
        <f t="shared" si="38"/>
        <v>3.25995033445286</v>
      </c>
      <c r="S43" s="155"/>
      <c r="T43" s="19" t="s">
        <v>39</v>
      </c>
      <c r="XDY43" s="21"/>
      <c r="XDZ43" s="21"/>
      <c r="XEA43" s="21"/>
      <c r="XEB43" s="21"/>
      <c r="XEC43" s="21"/>
      <c r="XED43" s="21"/>
      <c r="XEE43" s="21"/>
      <c r="XEF43" s="21"/>
      <c r="XEG43" s="21"/>
      <c r="XEH43" s="21"/>
      <c r="XEI43" s="21"/>
      <c r="XEJ43" s="21"/>
      <c r="XEK43" s="21"/>
      <c r="XEL43" s="21"/>
      <c r="XEM43" s="21"/>
      <c r="XEN43" s="21"/>
      <c r="XEO43" s="21"/>
      <c r="XEP43" s="21"/>
      <c r="XEQ43" s="21"/>
      <c r="XER43" s="21"/>
      <c r="XES43" s="21"/>
      <c r="XET43" s="21"/>
      <c r="XEU43" s="21"/>
      <c r="XEV43" s="21"/>
      <c r="XEW43" s="21"/>
      <c r="XEX43" s="21"/>
      <c r="XEY43" s="21"/>
      <c r="XEZ43" s="21"/>
      <c r="XFA43" s="21"/>
      <c r="XFB43" s="21"/>
      <c r="XFC43" s="21"/>
      <c r="XFD43" s="21"/>
    </row>
    <row r="44" s="19" customFormat="1" ht="15" customHeight="1" spans="1:16384">
      <c r="A44" s="47"/>
      <c r="B44" s="88"/>
      <c r="C44" s="89"/>
      <c r="D44" s="84"/>
      <c r="E44" s="113"/>
      <c r="F44" s="114"/>
      <c r="G44" s="114"/>
      <c r="H44" s="112" t="s">
        <v>37</v>
      </c>
      <c r="I44" s="20"/>
      <c r="J44" s="150"/>
      <c r="K44" s="150">
        <f>190/20</f>
        <v>9.5</v>
      </c>
      <c r="L44" s="148">
        <f t="shared" si="32"/>
        <v>0.173128</v>
      </c>
      <c r="M44" s="148">
        <f t="shared" si="33"/>
        <v>0.104956</v>
      </c>
      <c r="N44" s="148">
        <f t="shared" si="34"/>
        <v>1.32004134</v>
      </c>
      <c r="O44" s="148">
        <f t="shared" si="35"/>
        <v>0</v>
      </c>
      <c r="P44" s="148">
        <f t="shared" si="36"/>
        <v>0.137104</v>
      </c>
      <c r="Q44" s="148">
        <f t="shared" si="37"/>
        <v>1.132511117472</v>
      </c>
      <c r="R44" s="148">
        <f t="shared" si="38"/>
        <v>12.367740457472</v>
      </c>
      <c r="S44" s="155"/>
      <c r="T44" s="19" t="s">
        <v>32</v>
      </c>
      <c r="XDY44" s="21"/>
      <c r="XDZ44" s="21"/>
      <c r="XEA44" s="21"/>
      <c r="XEB44" s="21"/>
      <c r="XEC44" s="21"/>
      <c r="XED44" s="21"/>
      <c r="XEE44" s="21"/>
      <c r="XEF44" s="21"/>
      <c r="XEG44" s="21"/>
      <c r="XEH44" s="21"/>
      <c r="XEI44" s="21"/>
      <c r="XEJ44" s="21"/>
      <c r="XEK44" s="21"/>
      <c r="XEL44" s="21"/>
      <c r="XEM44" s="21"/>
      <c r="XEN44" s="21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  <c r="XFC44" s="21"/>
      <c r="XFD44" s="21"/>
    </row>
    <row r="45" s="19" customFormat="1" ht="9" customHeight="1" spans="1:16384">
      <c r="A45" s="47"/>
      <c r="B45" s="95"/>
      <c r="C45" s="96"/>
      <c r="D45" s="85"/>
      <c r="E45" s="143"/>
      <c r="F45" s="132"/>
      <c r="G45" s="132"/>
      <c r="H45" s="122" t="s">
        <v>97</v>
      </c>
      <c r="I45" s="154">
        <f>4.9776</f>
        <v>4.9776</v>
      </c>
      <c r="J45" s="151">
        <v>0.5749</v>
      </c>
      <c r="K45" s="151">
        <v>0.5996</v>
      </c>
      <c r="L45" s="148">
        <f t="shared" ref="L45:L50" si="39">(I45+K45*8%)*22.78%</f>
        <v>1.1448243904</v>
      </c>
      <c r="M45" s="148">
        <f t="shared" ref="M45:M50" si="40">(I45+K45*8%)*13.81%</f>
        <v>0.6940309408</v>
      </c>
      <c r="N45" s="148">
        <f t="shared" ref="N45:N50" si="41">(I45+J45+K45+L45+M45)*13.5%</f>
        <v>1.078778969712</v>
      </c>
      <c r="O45" s="148">
        <f t="shared" ref="O45:O50" si="42">I45*20%</f>
        <v>0.99552</v>
      </c>
      <c r="P45" s="148">
        <f t="shared" ref="P45:P50" si="43">(I45+K45*8%)*18.04%</f>
        <v>0.9066124672</v>
      </c>
      <c r="Q45" s="148">
        <f t="shared" ref="Q45:Q50" si="44">(I45+J45+K45+L45+M45+N45+O45+P45)*9%*(1+12%)</f>
        <v>1.10596417022569</v>
      </c>
      <c r="R45" s="148">
        <f t="shared" ref="R45:R50" si="45">I45+J45+K45+L45+M45+N45+O45+P45+Q45</f>
        <v>12.0778309383377</v>
      </c>
      <c r="S45" s="155"/>
      <c r="T45" s="19" t="s">
        <v>30</v>
      </c>
      <c r="XDY45" s="21"/>
      <c r="XDZ45" s="21"/>
      <c r="XEA45" s="21"/>
      <c r="XEB45" s="21"/>
      <c r="XEC45" s="21"/>
      <c r="XED45" s="21"/>
      <c r="XEE45" s="21"/>
      <c r="XEF45" s="21"/>
      <c r="XEG45" s="21"/>
      <c r="XEH45" s="21"/>
      <c r="XEI45" s="21"/>
      <c r="XEJ45" s="21"/>
      <c r="XEK45" s="21"/>
      <c r="XEL45" s="21"/>
      <c r="XEM45" s="21"/>
      <c r="XEN45" s="21"/>
      <c r="XEO45" s="21"/>
      <c r="XEP45" s="21"/>
      <c r="XEQ45" s="21"/>
      <c r="XER45" s="21"/>
      <c r="XES45" s="21"/>
      <c r="XET45" s="21"/>
      <c r="XEU45" s="21"/>
      <c r="XEV45" s="21"/>
      <c r="XEW45" s="21"/>
      <c r="XEX45" s="21"/>
      <c r="XEY45" s="21"/>
      <c r="XEZ45" s="21"/>
      <c r="XFA45" s="21"/>
      <c r="XFB45" s="21"/>
      <c r="XFC45" s="21"/>
      <c r="XFD45" s="21"/>
    </row>
    <row r="46" s="19" customFormat="1" ht="15" customHeight="1" spans="1:16384">
      <c r="A46" s="47">
        <v>4</v>
      </c>
      <c r="B46" s="86" t="s">
        <v>110</v>
      </c>
      <c r="C46" s="87" t="s">
        <v>111</v>
      </c>
      <c r="D46" s="83" t="s">
        <v>27</v>
      </c>
      <c r="E46" s="110">
        <f>(5.7*6+3.2+3.7+2.7+2.9)*3.5+(5*2+3*2+3.15*2+1.9*2+3.5*2+2.9*2+2.2*2+3.5*2+5.3*4+3.6*2+3.5+3.7+7.8)*3.8</f>
        <v>519.51</v>
      </c>
      <c r="F46" s="111"/>
      <c r="G46" s="111"/>
      <c r="H46" s="112" t="s">
        <v>112</v>
      </c>
      <c r="I46" s="20">
        <v>4.298</v>
      </c>
      <c r="J46" s="152"/>
      <c r="K46" s="153"/>
      <c r="L46" s="148">
        <f t="shared" si="39"/>
        <v>0.9790844</v>
      </c>
      <c r="M46" s="148">
        <f t="shared" si="40"/>
        <v>0.5935538</v>
      </c>
      <c r="N46" s="148">
        <f t="shared" si="41"/>
        <v>0.792536157</v>
      </c>
      <c r="O46" s="148">
        <f t="shared" si="42"/>
        <v>0.8596</v>
      </c>
      <c r="P46" s="148">
        <f t="shared" si="43"/>
        <v>0.7753592</v>
      </c>
      <c r="Q46" s="148">
        <f t="shared" si="44"/>
        <v>0.8364518625456</v>
      </c>
      <c r="R46" s="148">
        <f t="shared" si="45"/>
        <v>9.1345854195456</v>
      </c>
      <c r="S46" s="155">
        <f>R46+R47+R48</f>
        <v>23.3857165808519</v>
      </c>
      <c r="T46" s="19" t="s">
        <v>36</v>
      </c>
      <c r="XDY46" s="21"/>
      <c r="XDZ46" s="21"/>
      <c r="XEA46" s="21"/>
      <c r="XEB46" s="21"/>
      <c r="XEC46" s="21"/>
      <c r="XED46" s="21"/>
      <c r="XEE46" s="21"/>
      <c r="XEF46" s="21"/>
      <c r="XEG46" s="21"/>
      <c r="XEH46" s="21"/>
      <c r="XEI46" s="21"/>
      <c r="XEJ46" s="21"/>
      <c r="XEK46" s="21"/>
      <c r="XEL46" s="21"/>
      <c r="XEM46" s="21"/>
      <c r="XEN46" s="21"/>
      <c r="XEO46" s="21"/>
      <c r="XEP46" s="21"/>
      <c r="XEQ46" s="21"/>
      <c r="XER46" s="21"/>
      <c r="XES46" s="21"/>
      <c r="XET46" s="21"/>
      <c r="XEU46" s="21"/>
      <c r="XEV46" s="21"/>
      <c r="XEW46" s="21"/>
      <c r="XEX46" s="21"/>
      <c r="XEY46" s="21"/>
      <c r="XEZ46" s="21"/>
      <c r="XFA46" s="21"/>
      <c r="XFB46" s="21"/>
      <c r="XFC46" s="21"/>
      <c r="XFD46" s="21"/>
    </row>
    <row r="47" s="19" customFormat="1" ht="15" customHeight="1" spans="1:16384">
      <c r="A47" s="47"/>
      <c r="B47" s="88"/>
      <c r="C47" s="89"/>
      <c r="D47" s="84"/>
      <c r="E47" s="113"/>
      <c r="F47" s="114"/>
      <c r="G47" s="114"/>
      <c r="H47" s="112" t="s">
        <v>38</v>
      </c>
      <c r="I47" s="20">
        <f>51.129*0.02</f>
        <v>1.02258</v>
      </c>
      <c r="J47" s="150"/>
      <c r="K47" s="150"/>
      <c r="L47" s="148">
        <f t="shared" si="39"/>
        <v>0.232943724</v>
      </c>
      <c r="M47" s="148">
        <f t="shared" si="40"/>
        <v>0.141218298</v>
      </c>
      <c r="N47" s="148">
        <f t="shared" si="41"/>
        <v>0.18856017297</v>
      </c>
      <c r="O47" s="148">
        <f t="shared" si="42"/>
        <v>0.204516</v>
      </c>
      <c r="P47" s="148">
        <f t="shared" si="43"/>
        <v>0.184473432</v>
      </c>
      <c r="Q47" s="148">
        <f t="shared" si="44"/>
        <v>0.199008595998576</v>
      </c>
      <c r="R47" s="148">
        <f t="shared" si="45"/>
        <v>2.17330022296858</v>
      </c>
      <c r="S47" s="155"/>
      <c r="T47" s="19" t="s">
        <v>39</v>
      </c>
      <c r="XDY47" s="21"/>
      <c r="XDZ47" s="21"/>
      <c r="XEA47" s="21"/>
      <c r="XEB47" s="21"/>
      <c r="XEC47" s="21"/>
      <c r="XED47" s="21"/>
      <c r="XEE47" s="21"/>
      <c r="XEF47" s="21"/>
      <c r="XEG47" s="21"/>
      <c r="XEH47" s="21"/>
      <c r="XEI47" s="21"/>
      <c r="XEJ47" s="21"/>
      <c r="XEK47" s="21"/>
      <c r="XEL47" s="21"/>
      <c r="XEM47" s="21"/>
      <c r="XEN47" s="21"/>
      <c r="XEO47" s="21"/>
      <c r="XEP47" s="21"/>
      <c r="XEQ47" s="21"/>
      <c r="XER47" s="21"/>
      <c r="XES47" s="21"/>
      <c r="XET47" s="21"/>
      <c r="XEU47" s="21"/>
      <c r="XEV47" s="21"/>
      <c r="XEW47" s="21"/>
      <c r="XEX47" s="21"/>
      <c r="XEY47" s="21"/>
      <c r="XEZ47" s="21"/>
      <c r="XFA47" s="21"/>
      <c r="XFB47" s="21"/>
      <c r="XFC47" s="21"/>
      <c r="XFD47" s="21"/>
    </row>
    <row r="48" s="19" customFormat="1" ht="15" customHeight="1" spans="1:16384">
      <c r="A48" s="47"/>
      <c r="B48" s="95"/>
      <c r="C48" s="96"/>
      <c r="D48" s="85"/>
      <c r="E48" s="143"/>
      <c r="F48" s="132"/>
      <c r="G48" s="132"/>
      <c r="H48" s="122" t="s">
        <v>97</v>
      </c>
      <c r="I48" s="154">
        <f>4.9776</f>
        <v>4.9776</v>
      </c>
      <c r="J48" s="151">
        <v>0.5749</v>
      </c>
      <c r="K48" s="151">
        <v>0.5996</v>
      </c>
      <c r="L48" s="148">
        <f t="shared" si="39"/>
        <v>1.1448243904</v>
      </c>
      <c r="M48" s="148">
        <f t="shared" si="40"/>
        <v>0.6940309408</v>
      </c>
      <c r="N48" s="148">
        <f t="shared" si="41"/>
        <v>1.078778969712</v>
      </c>
      <c r="O48" s="148">
        <f t="shared" si="42"/>
        <v>0.99552</v>
      </c>
      <c r="P48" s="148">
        <f t="shared" si="43"/>
        <v>0.9066124672</v>
      </c>
      <c r="Q48" s="148">
        <f t="shared" si="44"/>
        <v>1.10596417022569</v>
      </c>
      <c r="R48" s="148">
        <f t="shared" si="45"/>
        <v>12.0778309383377</v>
      </c>
      <c r="S48" s="155"/>
      <c r="T48" s="19" t="s">
        <v>30</v>
      </c>
      <c r="XDY48" s="21"/>
      <c r="XDZ48" s="21"/>
      <c r="XEA48" s="21"/>
      <c r="XEB48" s="21"/>
      <c r="XEC48" s="21"/>
      <c r="XED48" s="21"/>
      <c r="XEE48" s="21"/>
      <c r="XEF48" s="21"/>
      <c r="XEG48" s="21"/>
      <c r="XEH48" s="21"/>
      <c r="XEI48" s="21"/>
      <c r="XEJ48" s="21"/>
      <c r="XEK48" s="21"/>
      <c r="XEL48" s="21"/>
      <c r="XEM48" s="21"/>
      <c r="XEN48" s="21"/>
      <c r="XEO48" s="21"/>
      <c r="XEP48" s="21"/>
      <c r="XEQ48" s="21"/>
      <c r="XER48" s="21"/>
      <c r="XES48" s="21"/>
      <c r="XET48" s="21"/>
      <c r="XEU48" s="21"/>
      <c r="XEV48" s="21"/>
      <c r="XEW48" s="21"/>
      <c r="XEX48" s="21"/>
      <c r="XEY48" s="21"/>
      <c r="XEZ48" s="21"/>
      <c r="XFA48" s="21"/>
      <c r="XFB48" s="21"/>
      <c r="XFC48" s="21"/>
      <c r="XFD48" s="21"/>
    </row>
    <row r="49" s="19" customFormat="1" ht="15" customHeight="1" spans="1:16384">
      <c r="A49" s="47">
        <v>5</v>
      </c>
      <c r="B49" s="86" t="s">
        <v>33</v>
      </c>
      <c r="C49" s="87" t="s">
        <v>34</v>
      </c>
      <c r="D49" s="83" t="s">
        <v>27</v>
      </c>
      <c r="E49" s="110">
        <f>0.3*0.9*20</f>
        <v>5.4</v>
      </c>
      <c r="F49" s="111"/>
      <c r="G49" s="111"/>
      <c r="H49" s="112" t="s">
        <v>35</v>
      </c>
      <c r="I49" s="20">
        <v>9.564</v>
      </c>
      <c r="J49" s="152"/>
      <c r="K49" s="153"/>
      <c r="L49" s="148">
        <f t="shared" si="39"/>
        <v>2.1786792</v>
      </c>
      <c r="M49" s="148">
        <f t="shared" si="40"/>
        <v>1.3207884</v>
      </c>
      <c r="N49" s="148">
        <f t="shared" si="41"/>
        <v>1.763568126</v>
      </c>
      <c r="O49" s="148">
        <f t="shared" si="42"/>
        <v>1.9128</v>
      </c>
      <c r="P49" s="148">
        <f t="shared" si="43"/>
        <v>1.7253456</v>
      </c>
      <c r="Q49" s="148">
        <f t="shared" si="44"/>
        <v>1.8612902776608</v>
      </c>
      <c r="R49" s="148">
        <f t="shared" si="45"/>
        <v>20.3264716036608</v>
      </c>
      <c r="S49" s="155">
        <f>R49+R50+R51</f>
        <v>38.1333348361542</v>
      </c>
      <c r="T49" s="19" t="s">
        <v>36</v>
      </c>
      <c r="XDY49" s="21"/>
      <c r="XDZ49" s="21"/>
      <c r="XEA49" s="21"/>
      <c r="XEB49" s="21"/>
      <c r="XEC49" s="21"/>
      <c r="XED49" s="21"/>
      <c r="XEE49" s="21"/>
      <c r="XEF49" s="21"/>
      <c r="XEG49" s="21"/>
      <c r="XEH49" s="21"/>
      <c r="XEI49" s="21"/>
      <c r="XEJ49" s="21"/>
      <c r="XEK49" s="21"/>
      <c r="XEL49" s="21"/>
      <c r="XEM49" s="21"/>
      <c r="XEN49" s="21"/>
      <c r="XEO49" s="21"/>
      <c r="XEP49" s="21"/>
      <c r="XEQ49" s="21"/>
      <c r="XER49" s="21"/>
      <c r="XES49" s="21"/>
      <c r="XET49" s="21"/>
      <c r="XEU49" s="21"/>
      <c r="XEV49" s="21"/>
      <c r="XEW49" s="21"/>
      <c r="XEX49" s="21"/>
      <c r="XEY49" s="21"/>
      <c r="XEZ49" s="21"/>
      <c r="XFA49" s="21"/>
      <c r="XFB49" s="21"/>
      <c r="XFC49" s="21"/>
      <c r="XFD49" s="21"/>
    </row>
    <row r="50" s="19" customFormat="1" ht="21" customHeight="1" spans="1:16384">
      <c r="A50" s="47"/>
      <c r="B50" s="88"/>
      <c r="C50" s="89"/>
      <c r="D50" s="84"/>
      <c r="E50" s="113"/>
      <c r="F50" s="114"/>
      <c r="G50" s="114"/>
      <c r="H50" s="112" t="s">
        <v>37</v>
      </c>
      <c r="I50" s="20"/>
      <c r="J50" s="150"/>
      <c r="K50" s="150">
        <f>190/20</f>
        <v>9.5</v>
      </c>
      <c r="L50" s="148">
        <f t="shared" si="39"/>
        <v>0.173128</v>
      </c>
      <c r="M50" s="148">
        <f t="shared" si="40"/>
        <v>0.104956</v>
      </c>
      <c r="N50" s="148">
        <f t="shared" si="41"/>
        <v>1.32004134</v>
      </c>
      <c r="O50" s="148">
        <f t="shared" si="42"/>
        <v>0</v>
      </c>
      <c r="P50" s="148">
        <f t="shared" si="43"/>
        <v>0.137104</v>
      </c>
      <c r="Q50" s="148">
        <f t="shared" si="44"/>
        <v>1.132511117472</v>
      </c>
      <c r="R50" s="148">
        <f t="shared" si="45"/>
        <v>12.367740457472</v>
      </c>
      <c r="S50" s="155"/>
      <c r="T50" s="19" t="s">
        <v>32</v>
      </c>
      <c r="XDY50" s="21"/>
      <c r="XDZ50" s="21"/>
      <c r="XEA50" s="21"/>
      <c r="XEB50" s="21"/>
      <c r="XEC50" s="21"/>
      <c r="XED50" s="21"/>
      <c r="XEE50" s="21"/>
      <c r="XEF50" s="21"/>
      <c r="XEG50" s="21"/>
      <c r="XEH50" s="21"/>
      <c r="XEI50" s="21"/>
      <c r="XEJ50" s="21"/>
      <c r="XEK50" s="21"/>
      <c r="XEL50" s="21"/>
      <c r="XEM50" s="21"/>
      <c r="XEN50" s="21"/>
      <c r="XEO50" s="21"/>
      <c r="XEP50" s="21"/>
      <c r="XEQ50" s="21"/>
      <c r="XER50" s="21"/>
      <c r="XES50" s="21"/>
      <c r="XET50" s="21"/>
      <c r="XEU50" s="21"/>
      <c r="XEV50" s="21"/>
      <c r="XEW50" s="21"/>
      <c r="XEX50" s="21"/>
      <c r="XEY50" s="21"/>
      <c r="XEZ50" s="21"/>
      <c r="XFA50" s="21"/>
      <c r="XFB50" s="21"/>
      <c r="XFC50" s="21"/>
      <c r="XFD50" s="21"/>
    </row>
    <row r="51" s="19" customFormat="1" ht="13" customHeight="1" spans="1:16384">
      <c r="A51" s="47"/>
      <c r="B51" s="88"/>
      <c r="C51" s="89"/>
      <c r="D51" s="84"/>
      <c r="E51" s="113"/>
      <c r="F51" s="114"/>
      <c r="G51" s="114"/>
      <c r="H51" s="112" t="s">
        <v>38</v>
      </c>
      <c r="I51" s="20">
        <f>51.129*0.05</f>
        <v>2.55645</v>
      </c>
      <c r="J51" s="150">
        <v>0.0047</v>
      </c>
      <c r="K51" s="150"/>
      <c r="L51" s="148">
        <f t="shared" ref="L51:L56" si="46">(I51+K51*8%)*22.78%</f>
        <v>0.58235931</v>
      </c>
      <c r="M51" s="148">
        <f t="shared" ref="M51:M56" si="47">(I51+K51*8%)*13.81%</f>
        <v>0.353045745</v>
      </c>
      <c r="N51" s="148">
        <f t="shared" ref="N51:N53" si="48">(I51+J51+K51+L51+M51)*13.5%</f>
        <v>0.472034932425</v>
      </c>
      <c r="O51" s="148">
        <f t="shared" ref="O51:O56" si="49">I51*20%</f>
        <v>0.51129</v>
      </c>
      <c r="P51" s="148">
        <f t="shared" ref="P51:P56" si="50">(I51+K51*8%)*18.04%</f>
        <v>0.46118358</v>
      </c>
      <c r="Q51" s="148">
        <f t="shared" ref="Q51:Q56" si="51">(I51+J51+K51+L51+M51+N51+O51+P51)*9%*(1+12%)</f>
        <v>0.49805920759644</v>
      </c>
      <c r="R51" s="148">
        <f t="shared" ref="R51:R56" si="52">I51+J51+K51+L51+M51+N51+O51+P51+Q51</f>
        <v>5.43912277502144</v>
      </c>
      <c r="S51" s="155"/>
      <c r="T51" s="19" t="s">
        <v>39</v>
      </c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1"/>
      <c r="XEJ51" s="21"/>
      <c r="XEK51" s="21"/>
      <c r="XEL51" s="21"/>
      <c r="XEM51" s="21"/>
      <c r="XEN51" s="21"/>
      <c r="XEO51" s="21"/>
      <c r="XEP51" s="21"/>
      <c r="XEQ51" s="21"/>
      <c r="XER51" s="21"/>
      <c r="XES51" s="21"/>
      <c r="XET51" s="21"/>
      <c r="XEU51" s="21"/>
      <c r="XEV51" s="21"/>
      <c r="XEW51" s="21"/>
      <c r="XEX51" s="21"/>
      <c r="XEY51" s="21"/>
      <c r="XEZ51" s="21"/>
      <c r="XFA51" s="21"/>
      <c r="XFB51" s="21"/>
      <c r="XFC51" s="21"/>
      <c r="XFD51" s="21"/>
    </row>
    <row r="52" s="19" customFormat="1" ht="15" customHeight="1" spans="1:16384">
      <c r="A52" s="47">
        <v>6</v>
      </c>
      <c r="B52" s="48" t="s">
        <v>113</v>
      </c>
      <c r="C52" s="49" t="s">
        <v>114</v>
      </c>
      <c r="D52" s="50" t="s">
        <v>27</v>
      </c>
      <c r="E52" s="115">
        <v>135.16</v>
      </c>
      <c r="F52" s="116"/>
      <c r="G52" s="116"/>
      <c r="H52" s="144" t="s">
        <v>115</v>
      </c>
      <c r="I52" s="154">
        <f>6.093</f>
        <v>6.093</v>
      </c>
      <c r="J52" s="150">
        <v>0.0047</v>
      </c>
      <c r="K52" s="150"/>
      <c r="L52" s="148">
        <f t="shared" si="46"/>
        <v>1.3879854</v>
      </c>
      <c r="M52" s="148">
        <f t="shared" si="47"/>
        <v>0.8414433</v>
      </c>
      <c r="N52" s="148">
        <f t="shared" si="48"/>
        <v>1.1241623745</v>
      </c>
      <c r="O52" s="148">
        <f t="shared" si="49"/>
        <v>1.2186</v>
      </c>
      <c r="P52" s="148">
        <f t="shared" si="50"/>
        <v>1.0991772</v>
      </c>
      <c r="Q52" s="148">
        <f t="shared" si="51"/>
        <v>1.1863220820696</v>
      </c>
      <c r="R52" s="148">
        <f t="shared" si="52"/>
        <v>12.9553903565696</v>
      </c>
      <c r="S52" s="155">
        <f>R52+R53+R54+R55</f>
        <v>42.8400845274007</v>
      </c>
      <c r="T52" s="19" t="s">
        <v>36</v>
      </c>
      <c r="XDY52" s="21"/>
      <c r="XDZ52" s="21"/>
      <c r="XEA52" s="21"/>
      <c r="XEB52" s="21"/>
      <c r="XEC52" s="21"/>
      <c r="XED52" s="21"/>
      <c r="XEE52" s="21"/>
      <c r="XEF52" s="21"/>
      <c r="XEG52" s="21"/>
      <c r="XEH52" s="21"/>
      <c r="XEI52" s="21"/>
      <c r="XEJ52" s="21"/>
      <c r="XEK52" s="21"/>
      <c r="XEL52" s="21"/>
      <c r="XEM52" s="21"/>
      <c r="XEN52" s="21"/>
      <c r="XEO52" s="21"/>
      <c r="XEP52" s="21"/>
      <c r="XEQ52" s="21"/>
      <c r="XER52" s="21"/>
      <c r="XES52" s="21"/>
      <c r="XET52" s="21"/>
      <c r="XEU52" s="21"/>
      <c r="XEV52" s="21"/>
      <c r="XEW52" s="21"/>
      <c r="XEX52" s="21"/>
      <c r="XEY52" s="21"/>
      <c r="XEZ52" s="21"/>
      <c r="XFA52" s="21"/>
      <c r="XFB52" s="21"/>
      <c r="XFC52" s="21"/>
      <c r="XFD52" s="21"/>
    </row>
    <row r="53" s="19" customFormat="1" ht="15" customHeight="1" spans="1:16384">
      <c r="A53" s="47"/>
      <c r="B53" s="48"/>
      <c r="C53" s="49"/>
      <c r="D53" s="50"/>
      <c r="E53" s="115"/>
      <c r="F53" s="116"/>
      <c r="G53" s="116"/>
      <c r="H53" s="112" t="s">
        <v>37</v>
      </c>
      <c r="I53" s="20"/>
      <c r="J53" s="150"/>
      <c r="K53" s="150">
        <f>190/20</f>
        <v>9.5</v>
      </c>
      <c r="L53" s="148">
        <f t="shared" si="46"/>
        <v>0.173128</v>
      </c>
      <c r="M53" s="148">
        <f t="shared" si="47"/>
        <v>0.104956</v>
      </c>
      <c r="N53" s="148">
        <f t="shared" si="48"/>
        <v>1.32004134</v>
      </c>
      <c r="O53" s="148">
        <f t="shared" si="49"/>
        <v>0</v>
      </c>
      <c r="P53" s="148">
        <f t="shared" si="50"/>
        <v>0.137104</v>
      </c>
      <c r="Q53" s="148">
        <f t="shared" si="51"/>
        <v>1.132511117472</v>
      </c>
      <c r="R53" s="148">
        <f t="shared" si="52"/>
        <v>12.367740457472</v>
      </c>
      <c r="S53" s="155"/>
      <c r="T53" s="19" t="s">
        <v>32</v>
      </c>
      <c r="XDY53" s="21"/>
      <c r="XDZ53" s="21"/>
      <c r="XEA53" s="21"/>
      <c r="XEB53" s="21"/>
      <c r="XEC53" s="21"/>
      <c r="XED53" s="21"/>
      <c r="XEE53" s="21"/>
      <c r="XEF53" s="21"/>
      <c r="XEG53" s="21"/>
      <c r="XEH53" s="21"/>
      <c r="XEI53" s="21"/>
      <c r="XEJ53" s="21"/>
      <c r="XEK53" s="21"/>
      <c r="XEL53" s="21"/>
      <c r="XEM53" s="21"/>
      <c r="XEN53" s="21"/>
      <c r="XEO53" s="21"/>
      <c r="XEP53" s="21"/>
      <c r="XEQ53" s="21"/>
      <c r="XER53" s="21"/>
      <c r="XES53" s="21"/>
      <c r="XET53" s="21"/>
      <c r="XEU53" s="21"/>
      <c r="XEV53" s="21"/>
      <c r="XEW53" s="21"/>
      <c r="XEX53" s="21"/>
      <c r="XEY53" s="21"/>
      <c r="XEZ53" s="21"/>
      <c r="XFA53" s="21"/>
      <c r="XFB53" s="21"/>
      <c r="XFC53" s="21"/>
      <c r="XFD53" s="21"/>
    </row>
    <row r="54" s="19" customFormat="1" ht="15" customHeight="1" spans="1:16384">
      <c r="A54" s="47"/>
      <c r="B54" s="48"/>
      <c r="C54" s="49"/>
      <c r="D54" s="50"/>
      <c r="E54" s="115"/>
      <c r="F54" s="116"/>
      <c r="G54" s="116"/>
      <c r="H54" s="112" t="s">
        <v>38</v>
      </c>
      <c r="I54" s="20">
        <f>51.129*0.05</f>
        <v>2.55645</v>
      </c>
      <c r="J54" s="150">
        <v>0.0047</v>
      </c>
      <c r="K54" s="150"/>
      <c r="L54" s="148">
        <f t="shared" si="46"/>
        <v>0.58235931</v>
      </c>
      <c r="M54" s="148">
        <f t="shared" si="47"/>
        <v>0.353045745</v>
      </c>
      <c r="N54" s="148">
        <f t="shared" ref="N54:N59" si="53">(I54+J54+K54+L54+M54)*13.5%</f>
        <v>0.472034932425</v>
      </c>
      <c r="O54" s="148">
        <f t="shared" si="49"/>
        <v>0.51129</v>
      </c>
      <c r="P54" s="148">
        <f t="shared" si="50"/>
        <v>0.46118358</v>
      </c>
      <c r="Q54" s="148">
        <f t="shared" si="51"/>
        <v>0.49805920759644</v>
      </c>
      <c r="R54" s="148">
        <f t="shared" si="52"/>
        <v>5.43912277502144</v>
      </c>
      <c r="S54" s="155"/>
      <c r="T54" s="19" t="s">
        <v>39</v>
      </c>
      <c r="XDY54" s="21"/>
      <c r="XDZ54" s="21"/>
      <c r="XEA54" s="21"/>
      <c r="XEB54" s="21"/>
      <c r="XEC54" s="21"/>
      <c r="XED54" s="21"/>
      <c r="XEE54" s="21"/>
      <c r="XEF54" s="21"/>
      <c r="XEG54" s="21"/>
      <c r="XEH54" s="21"/>
      <c r="XEI54" s="21"/>
      <c r="XEJ54" s="21"/>
      <c r="XEK54" s="21"/>
      <c r="XEL54" s="21"/>
      <c r="XEM54" s="21"/>
      <c r="XEN54" s="21"/>
      <c r="XEO54" s="21"/>
      <c r="XEP54" s="21"/>
      <c r="XEQ54" s="21"/>
      <c r="XER54" s="21"/>
      <c r="XES54" s="21"/>
      <c r="XET54" s="21"/>
      <c r="XEU54" s="21"/>
      <c r="XEV54" s="21"/>
      <c r="XEW54" s="21"/>
      <c r="XEX54" s="21"/>
      <c r="XEY54" s="21"/>
      <c r="XEZ54" s="21"/>
      <c r="XFA54" s="21"/>
      <c r="XFB54" s="21"/>
      <c r="XFC54" s="21"/>
      <c r="XFD54" s="21"/>
    </row>
    <row r="55" s="20" customFormat="1" ht="15" hidden="1" customHeight="1" spans="1:16384">
      <c r="A55" s="47"/>
      <c r="B55" s="48"/>
      <c r="C55" s="49"/>
      <c r="D55" s="50"/>
      <c r="E55" s="115"/>
      <c r="F55" s="116"/>
      <c r="G55" s="116"/>
      <c r="H55" s="122" t="s">
        <v>97</v>
      </c>
      <c r="I55" s="154">
        <f>4.9776</f>
        <v>4.9776</v>
      </c>
      <c r="J55" s="151">
        <v>0.5749</v>
      </c>
      <c r="K55" s="151">
        <v>0.5996</v>
      </c>
      <c r="L55" s="150">
        <f t="shared" si="46"/>
        <v>1.1448243904</v>
      </c>
      <c r="M55" s="150">
        <f t="shared" si="47"/>
        <v>0.6940309408</v>
      </c>
      <c r="N55" s="150">
        <f t="shared" si="53"/>
        <v>1.078778969712</v>
      </c>
      <c r="O55" s="150">
        <f t="shared" si="49"/>
        <v>0.99552</v>
      </c>
      <c r="P55" s="150">
        <f t="shared" si="50"/>
        <v>0.9066124672</v>
      </c>
      <c r="Q55" s="150">
        <f t="shared" si="51"/>
        <v>1.10596417022569</v>
      </c>
      <c r="R55" s="150">
        <f t="shared" si="52"/>
        <v>12.0778309383377</v>
      </c>
      <c r="S55" s="155"/>
      <c r="T55" s="20" t="s">
        <v>30</v>
      </c>
      <c r="XDY55" s="161"/>
      <c r="XDZ55" s="161"/>
      <c r="XEA55" s="161"/>
      <c r="XEB55" s="161"/>
      <c r="XEC55" s="161"/>
      <c r="XED55" s="161"/>
      <c r="XEE55" s="161"/>
      <c r="XEF55" s="161"/>
      <c r="XEG55" s="161"/>
      <c r="XEH55" s="161"/>
      <c r="XEI55" s="161"/>
      <c r="XEJ55" s="161"/>
      <c r="XEK55" s="161"/>
      <c r="XEL55" s="161"/>
      <c r="XEM55" s="161"/>
      <c r="XEN55" s="161"/>
      <c r="XEO55" s="161"/>
      <c r="XEP55" s="161"/>
      <c r="XEQ55" s="161"/>
      <c r="XER55" s="161"/>
      <c r="XES55" s="161"/>
      <c r="XET55" s="161"/>
      <c r="XEU55" s="161"/>
      <c r="XEV55" s="161"/>
      <c r="XEW55" s="161"/>
      <c r="XEX55" s="161"/>
      <c r="XEY55" s="161"/>
      <c r="XEZ55" s="161"/>
      <c r="XFA55" s="161"/>
      <c r="XFB55" s="161"/>
      <c r="XFC55" s="161"/>
      <c r="XFD55" s="161"/>
    </row>
    <row r="56" s="19" customFormat="1" ht="45" customHeight="1" spans="1:16384">
      <c r="A56" s="51">
        <v>8</v>
      </c>
      <c r="B56" s="52" t="s">
        <v>116</v>
      </c>
      <c r="C56" s="53" t="s">
        <v>117</v>
      </c>
      <c r="D56" s="50" t="s">
        <v>118</v>
      </c>
      <c r="E56" s="138">
        <v>1</v>
      </c>
      <c r="F56" s="116"/>
      <c r="G56" s="116"/>
      <c r="H56" s="144" t="s">
        <v>37</v>
      </c>
      <c r="I56" s="154">
        <v>210</v>
      </c>
      <c r="J56" s="151"/>
      <c r="K56" s="151"/>
      <c r="L56" s="150">
        <f t="shared" si="46"/>
        <v>47.838</v>
      </c>
      <c r="M56" s="150">
        <f t="shared" si="47"/>
        <v>29.001</v>
      </c>
      <c r="N56" s="150">
        <f t="shared" si="53"/>
        <v>38.723265</v>
      </c>
      <c r="O56" s="150">
        <f t="shared" si="49"/>
        <v>42</v>
      </c>
      <c r="P56" s="150">
        <f t="shared" si="50"/>
        <v>37.884</v>
      </c>
      <c r="Q56" s="150">
        <f t="shared" si="51"/>
        <v>40.868983512</v>
      </c>
      <c r="R56" s="150">
        <f t="shared" si="52"/>
        <v>446.315248512</v>
      </c>
      <c r="S56" s="158">
        <f>R56</f>
        <v>446.315248512</v>
      </c>
      <c r="T56" s="20" t="s">
        <v>36</v>
      </c>
      <c r="XDY56" s="21"/>
      <c r="XDZ56" s="21"/>
      <c r="XEA56" s="21"/>
      <c r="XEB56" s="21"/>
      <c r="XEC56" s="21"/>
      <c r="XED56" s="21"/>
      <c r="XEE56" s="21"/>
      <c r="XEF56" s="21"/>
      <c r="XEG56" s="21"/>
      <c r="XEH56" s="21"/>
      <c r="XEI56" s="21"/>
      <c r="XEJ56" s="21"/>
      <c r="XEK56" s="21"/>
      <c r="XEL56" s="21"/>
      <c r="XEM56" s="21"/>
      <c r="XEN56" s="21"/>
      <c r="XEO56" s="21"/>
      <c r="XEP56" s="21"/>
      <c r="XEQ56" s="21"/>
      <c r="XER56" s="21"/>
      <c r="XES56" s="21"/>
      <c r="XET56" s="21"/>
      <c r="XEU56" s="21"/>
      <c r="XEV56" s="21"/>
      <c r="XEW56" s="21"/>
      <c r="XEX56" s="21"/>
      <c r="XEY56" s="21"/>
      <c r="XEZ56" s="21"/>
      <c r="XFA56" s="21"/>
      <c r="XFB56" s="21"/>
      <c r="XFC56" s="21"/>
      <c r="XFD56" s="21"/>
    </row>
    <row r="57" s="19" customFormat="1" ht="22" customHeight="1" spans="1:16384">
      <c r="A57" s="57" t="s">
        <v>119</v>
      </c>
      <c r="B57" s="55" t="s">
        <v>120</v>
      </c>
      <c r="C57" s="97" t="s">
        <v>50</v>
      </c>
      <c r="D57" s="57" t="s">
        <v>24</v>
      </c>
      <c r="E57" s="121"/>
      <c r="F57" s="54"/>
      <c r="G57" s="109"/>
      <c r="H57" s="122"/>
      <c r="I57" s="154"/>
      <c r="J57" s="151"/>
      <c r="K57" s="151"/>
      <c r="L57" s="148"/>
      <c r="M57" s="148"/>
      <c r="N57" s="148"/>
      <c r="O57" s="148"/>
      <c r="P57" s="148"/>
      <c r="Q57" s="148"/>
      <c r="R57" s="148"/>
      <c r="S57" s="155"/>
      <c r="XDY57" s="21"/>
      <c r="XDZ57" s="21"/>
      <c r="XEA57" s="21"/>
      <c r="XEB57" s="21"/>
      <c r="XEC57" s="21"/>
      <c r="XED57" s="21"/>
      <c r="XEE57" s="21"/>
      <c r="XEF57" s="21"/>
      <c r="XEG57" s="21"/>
      <c r="XEH57" s="21"/>
      <c r="XEI57" s="21"/>
      <c r="XEJ57" s="21"/>
      <c r="XEK57" s="21"/>
      <c r="XEL57" s="21"/>
      <c r="XEM57" s="21"/>
      <c r="XEN57" s="21"/>
      <c r="XEO57" s="21"/>
      <c r="XEP57" s="21"/>
      <c r="XEQ57" s="21"/>
      <c r="XER57" s="21"/>
      <c r="XES57" s="21"/>
      <c r="XET57" s="21"/>
      <c r="XEU57" s="21"/>
      <c r="XEV57" s="21"/>
      <c r="XEW57" s="21"/>
      <c r="XEX57" s="21"/>
      <c r="XEY57" s="21"/>
      <c r="XEZ57" s="21"/>
      <c r="XFA57" s="21"/>
      <c r="XFB57" s="21"/>
      <c r="XFC57" s="21"/>
      <c r="XFD57" s="21"/>
    </row>
    <row r="58" s="21" customFormat="1" ht="10.7" spans="1:2575">
      <c r="A58" s="50">
        <v>1</v>
      </c>
      <c r="B58" s="98" t="s">
        <v>121</v>
      </c>
      <c r="C58" s="99" t="s">
        <v>122</v>
      </c>
      <c r="D58" s="50" t="s">
        <v>27</v>
      </c>
      <c r="E58" s="110">
        <f>5.7*3.6*2+3.5*3.6+2.8*3.6+(2+2.8)*3.6+6.92*3.3+2.8*3.3+3.4*3.3+3.4*3.3*2</f>
        <v>146.736</v>
      </c>
      <c r="F58" s="111"/>
      <c r="G58" s="111"/>
      <c r="H58" s="112" t="s">
        <v>97</v>
      </c>
      <c r="I58" s="20">
        <f>4.9876</f>
        <v>4.9876</v>
      </c>
      <c r="J58" s="150">
        <v>0.5749</v>
      </c>
      <c r="K58" s="150">
        <v>0.5996</v>
      </c>
      <c r="L58" s="148">
        <f t="shared" ref="L58:L74" si="54">(I58+K58*8%)*22.78%</f>
        <v>1.1471023904</v>
      </c>
      <c r="M58" s="148">
        <f t="shared" ref="M58:M74" si="55">(I58+K58*8%)*13.81%</f>
        <v>0.6954119408</v>
      </c>
      <c r="N58" s="148">
        <f t="shared" ref="N58:N96" si="56">(I58+J58+K58+L58+M58)*13.5%</f>
        <v>1.080622934712</v>
      </c>
      <c r="O58" s="148">
        <f t="shared" ref="O58:O74" si="57">I58*20%</f>
        <v>0.99752</v>
      </c>
      <c r="P58" s="148">
        <f t="shared" ref="P58:P74" si="58">(I58+K58*8%)*18.04%</f>
        <v>0.9084164672</v>
      </c>
      <c r="Q58" s="148">
        <f t="shared" ref="Q58:Q74" si="59">(I58+J58+K58+L58+M58+N58+O58+P58)*9%*(1+12%)</f>
        <v>1.10791031229769</v>
      </c>
      <c r="R58" s="148">
        <f t="shared" ref="R57:R66" si="60">I58+J58+K58+L58+M58+N58+O58+P58+Q58</f>
        <v>12.0990840454097</v>
      </c>
      <c r="S58" s="21">
        <f>R58+R59+R60</f>
        <v>81.2395212200765</v>
      </c>
      <c r="T58" s="19" t="s">
        <v>30</v>
      </c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  <c r="AMM58" s="19"/>
      <c r="AMN58" s="19"/>
      <c r="AMO58" s="19"/>
      <c r="AMP58" s="19"/>
      <c r="AMQ58" s="19"/>
      <c r="AMR58" s="19"/>
      <c r="AMS58" s="19"/>
      <c r="AMT58" s="19"/>
      <c r="AMU58" s="19"/>
      <c r="AMV58" s="19"/>
      <c r="AMW58" s="19"/>
      <c r="AMX58" s="19"/>
      <c r="AMY58" s="19"/>
      <c r="AMZ58" s="19"/>
      <c r="ANA58" s="19"/>
      <c r="ANB58" s="19"/>
      <c r="ANC58" s="19"/>
      <c r="AND58" s="19"/>
      <c r="ANE58" s="19"/>
      <c r="ANF58" s="19"/>
      <c r="ANG58" s="19"/>
      <c r="ANH58" s="19"/>
      <c r="ANI58" s="19"/>
      <c r="ANJ58" s="19"/>
      <c r="ANK58" s="19"/>
      <c r="ANL58" s="19"/>
      <c r="ANM58" s="19"/>
      <c r="ANN58" s="19"/>
      <c r="ANO58" s="19"/>
      <c r="ANP58" s="19"/>
      <c r="ANQ58" s="19"/>
      <c r="ANR58" s="19"/>
      <c r="ANS58" s="19"/>
      <c r="ANT58" s="19"/>
      <c r="ANU58" s="19"/>
      <c r="ANV58" s="19"/>
      <c r="ANW58" s="19"/>
      <c r="ANX58" s="19"/>
      <c r="ANY58" s="19"/>
      <c r="ANZ58" s="19"/>
      <c r="AOA58" s="19"/>
      <c r="AOB58" s="19"/>
      <c r="AOC58" s="19"/>
      <c r="AOD58" s="19"/>
      <c r="AOE58" s="19"/>
      <c r="AOF58" s="19"/>
      <c r="AOG58" s="19"/>
      <c r="AOH58" s="19"/>
      <c r="AOI58" s="19"/>
      <c r="AOJ58" s="19"/>
      <c r="AOK58" s="19"/>
      <c r="AOL58" s="19"/>
      <c r="AOM58" s="19"/>
      <c r="AON58" s="19"/>
      <c r="AOO58" s="19"/>
      <c r="AOP58" s="19"/>
      <c r="AOQ58" s="19"/>
      <c r="AOR58" s="19"/>
      <c r="AOS58" s="19"/>
      <c r="AOT58" s="19"/>
      <c r="AOU58" s="19"/>
      <c r="AOV58" s="19"/>
      <c r="AOW58" s="19"/>
      <c r="AOX58" s="19"/>
      <c r="AOY58" s="19"/>
      <c r="AOZ58" s="19"/>
      <c r="APA58" s="19"/>
      <c r="APB58" s="19"/>
      <c r="APC58" s="19"/>
      <c r="APD58" s="19"/>
      <c r="APE58" s="19"/>
      <c r="APF58" s="19"/>
      <c r="APG58" s="19"/>
      <c r="APH58" s="19"/>
      <c r="API58" s="19"/>
      <c r="APJ58" s="19"/>
      <c r="APK58" s="19"/>
      <c r="APL58" s="19"/>
      <c r="APM58" s="19"/>
      <c r="APN58" s="19"/>
      <c r="APO58" s="19"/>
      <c r="APP58" s="19"/>
      <c r="APQ58" s="19"/>
      <c r="APR58" s="19"/>
      <c r="APS58" s="19"/>
      <c r="APT58" s="19"/>
      <c r="APU58" s="19"/>
      <c r="APV58" s="19"/>
      <c r="APW58" s="19"/>
      <c r="APX58" s="19"/>
      <c r="APY58" s="19"/>
      <c r="APZ58" s="19"/>
      <c r="AQA58" s="19"/>
      <c r="AQB58" s="19"/>
      <c r="AQC58" s="19"/>
      <c r="AQD58" s="19"/>
      <c r="AQE58" s="19"/>
      <c r="AQF58" s="19"/>
      <c r="AQG58" s="19"/>
      <c r="AQH58" s="19"/>
      <c r="AQI58" s="19"/>
      <c r="AQJ58" s="19"/>
      <c r="AQK58" s="19"/>
      <c r="AQL58" s="19"/>
      <c r="AQM58" s="19"/>
      <c r="AQN58" s="19"/>
      <c r="AQO58" s="19"/>
      <c r="AQP58" s="19"/>
      <c r="AQQ58" s="19"/>
      <c r="AQR58" s="19"/>
      <c r="AQS58" s="19"/>
      <c r="AQT58" s="19"/>
      <c r="AQU58" s="19"/>
      <c r="AQV58" s="19"/>
      <c r="AQW58" s="19"/>
      <c r="AQX58" s="19"/>
      <c r="AQY58" s="19"/>
      <c r="AQZ58" s="19"/>
      <c r="ARA58" s="19"/>
      <c r="ARB58" s="19"/>
      <c r="ARC58" s="19"/>
      <c r="ARD58" s="19"/>
      <c r="ARE58" s="19"/>
      <c r="ARF58" s="19"/>
      <c r="ARG58" s="19"/>
      <c r="ARH58" s="19"/>
      <c r="ARI58" s="19"/>
      <c r="ARJ58" s="19"/>
      <c r="ARK58" s="19"/>
      <c r="ARL58" s="19"/>
      <c r="ARM58" s="19"/>
      <c r="ARN58" s="19"/>
      <c r="ARO58" s="19"/>
      <c r="ARP58" s="19"/>
      <c r="ARQ58" s="19"/>
      <c r="ARR58" s="19"/>
      <c r="ARS58" s="19"/>
      <c r="ART58" s="19"/>
      <c r="ARU58" s="19"/>
      <c r="ARV58" s="19"/>
      <c r="ARW58" s="19"/>
      <c r="ARX58" s="19"/>
      <c r="ARY58" s="19"/>
      <c r="ARZ58" s="19"/>
      <c r="ASA58" s="19"/>
      <c r="ASB58" s="19"/>
      <c r="ASC58" s="19"/>
      <c r="ASD58" s="19"/>
      <c r="ASE58" s="19"/>
      <c r="ASF58" s="19"/>
      <c r="ASG58" s="19"/>
      <c r="ASH58" s="19"/>
      <c r="ASI58" s="19"/>
      <c r="ASJ58" s="19"/>
      <c r="ASK58" s="19"/>
      <c r="ASL58" s="19"/>
      <c r="ASM58" s="19"/>
      <c r="ASN58" s="19"/>
      <c r="ASO58" s="19"/>
      <c r="ASP58" s="19"/>
      <c r="ASQ58" s="19"/>
      <c r="ASR58" s="19"/>
      <c r="ASS58" s="19"/>
      <c r="AST58" s="19"/>
      <c r="ASU58" s="19"/>
      <c r="ASV58" s="19"/>
      <c r="ASW58" s="19"/>
      <c r="ASX58" s="19"/>
      <c r="ASY58" s="19"/>
      <c r="ASZ58" s="19"/>
      <c r="ATA58" s="19"/>
      <c r="ATB58" s="19"/>
      <c r="ATC58" s="19"/>
      <c r="ATD58" s="19"/>
      <c r="ATE58" s="19"/>
      <c r="ATF58" s="19"/>
      <c r="ATG58" s="19"/>
      <c r="ATH58" s="19"/>
      <c r="ATI58" s="19"/>
      <c r="ATJ58" s="19"/>
      <c r="ATK58" s="19"/>
      <c r="ATL58" s="19"/>
      <c r="ATM58" s="19"/>
      <c r="ATN58" s="19"/>
      <c r="ATO58" s="19"/>
      <c r="ATP58" s="19"/>
      <c r="ATQ58" s="19"/>
      <c r="ATR58" s="19"/>
      <c r="ATS58" s="19"/>
      <c r="ATT58" s="19"/>
      <c r="ATU58" s="19"/>
      <c r="ATV58" s="19"/>
      <c r="ATW58" s="19"/>
      <c r="ATX58" s="19"/>
      <c r="ATY58" s="19"/>
      <c r="ATZ58" s="19"/>
      <c r="AUA58" s="19"/>
      <c r="AUB58" s="19"/>
      <c r="AUC58" s="19"/>
      <c r="AUD58" s="19"/>
      <c r="AUE58" s="19"/>
      <c r="AUF58" s="19"/>
      <c r="AUG58" s="19"/>
      <c r="AUH58" s="19"/>
      <c r="AUI58" s="19"/>
      <c r="AUJ58" s="19"/>
      <c r="AUK58" s="19"/>
      <c r="AUL58" s="19"/>
      <c r="AUM58" s="19"/>
      <c r="AUN58" s="19"/>
      <c r="AUO58" s="19"/>
      <c r="AUP58" s="19"/>
      <c r="AUQ58" s="19"/>
      <c r="AUR58" s="19"/>
      <c r="AUS58" s="19"/>
      <c r="AUT58" s="19"/>
      <c r="AUU58" s="19"/>
      <c r="AUV58" s="19"/>
      <c r="AUW58" s="19"/>
      <c r="AUX58" s="19"/>
      <c r="AUY58" s="19"/>
      <c r="AUZ58" s="19"/>
      <c r="AVA58" s="19"/>
      <c r="AVB58" s="19"/>
      <c r="AVC58" s="19"/>
      <c r="AVD58" s="19"/>
      <c r="AVE58" s="19"/>
      <c r="AVF58" s="19"/>
      <c r="AVG58" s="19"/>
      <c r="AVH58" s="19"/>
      <c r="AVI58" s="19"/>
      <c r="AVJ58" s="19"/>
      <c r="AVK58" s="19"/>
      <c r="AVL58" s="19"/>
      <c r="AVM58" s="19"/>
      <c r="AVN58" s="19"/>
      <c r="AVO58" s="19"/>
      <c r="AVP58" s="19"/>
      <c r="AVQ58" s="19"/>
      <c r="AVR58" s="19"/>
      <c r="AVS58" s="19"/>
      <c r="AVT58" s="19"/>
      <c r="AVU58" s="19"/>
      <c r="AVV58" s="19"/>
      <c r="AVW58" s="19"/>
      <c r="AVX58" s="19"/>
      <c r="AVY58" s="19"/>
      <c r="AVZ58" s="19"/>
      <c r="AWA58" s="19"/>
      <c r="AWB58" s="19"/>
      <c r="AWC58" s="19"/>
      <c r="AWD58" s="19"/>
      <c r="AWE58" s="19"/>
      <c r="AWF58" s="19"/>
      <c r="AWG58" s="19"/>
      <c r="AWH58" s="19"/>
      <c r="AWI58" s="19"/>
      <c r="AWJ58" s="19"/>
      <c r="AWK58" s="19"/>
      <c r="AWL58" s="19"/>
      <c r="AWM58" s="19"/>
      <c r="AWN58" s="19"/>
      <c r="AWO58" s="19"/>
      <c r="AWP58" s="19"/>
      <c r="AWQ58" s="19"/>
      <c r="AWR58" s="19"/>
      <c r="AWS58" s="19"/>
      <c r="AWT58" s="19"/>
      <c r="AWU58" s="19"/>
      <c r="AWV58" s="19"/>
      <c r="AWW58" s="19"/>
      <c r="AWX58" s="19"/>
      <c r="AWY58" s="19"/>
      <c r="AWZ58" s="19"/>
      <c r="AXA58" s="19"/>
      <c r="AXB58" s="19"/>
      <c r="AXC58" s="19"/>
      <c r="AXD58" s="19"/>
      <c r="AXE58" s="19"/>
      <c r="AXF58" s="19"/>
      <c r="AXG58" s="19"/>
      <c r="AXH58" s="19"/>
      <c r="AXI58" s="19"/>
      <c r="AXJ58" s="19"/>
      <c r="AXK58" s="19"/>
      <c r="AXL58" s="19"/>
      <c r="AXM58" s="19"/>
      <c r="AXN58" s="19"/>
      <c r="AXO58" s="19"/>
      <c r="AXP58" s="19"/>
      <c r="AXQ58" s="19"/>
      <c r="AXR58" s="19"/>
      <c r="AXS58" s="19"/>
      <c r="AXT58" s="19"/>
      <c r="AXU58" s="19"/>
      <c r="AXV58" s="19"/>
      <c r="AXW58" s="19"/>
      <c r="AXX58" s="19"/>
      <c r="AXY58" s="19"/>
      <c r="AXZ58" s="19"/>
      <c r="AYA58" s="19"/>
      <c r="AYB58" s="19"/>
      <c r="AYC58" s="19"/>
      <c r="AYD58" s="19"/>
      <c r="AYE58" s="19"/>
      <c r="AYF58" s="19"/>
      <c r="AYG58" s="19"/>
      <c r="AYH58" s="19"/>
      <c r="AYI58" s="19"/>
      <c r="AYJ58" s="19"/>
      <c r="AYK58" s="19"/>
      <c r="AYL58" s="19"/>
      <c r="AYM58" s="19"/>
      <c r="AYN58" s="19"/>
      <c r="AYO58" s="19"/>
      <c r="AYP58" s="19"/>
      <c r="AYQ58" s="19"/>
      <c r="AYR58" s="19"/>
      <c r="AYS58" s="19"/>
      <c r="AYT58" s="19"/>
      <c r="AYU58" s="19"/>
      <c r="AYV58" s="19"/>
      <c r="AYW58" s="19"/>
      <c r="AYX58" s="19"/>
      <c r="AYY58" s="19"/>
      <c r="AYZ58" s="19"/>
      <c r="AZA58" s="19"/>
      <c r="AZB58" s="19"/>
      <c r="AZC58" s="19"/>
      <c r="AZD58" s="19"/>
      <c r="AZE58" s="19"/>
      <c r="AZF58" s="19"/>
      <c r="AZG58" s="19"/>
      <c r="AZH58" s="19"/>
      <c r="AZI58" s="19"/>
      <c r="AZJ58" s="19"/>
      <c r="AZK58" s="19"/>
      <c r="AZL58" s="19"/>
      <c r="AZM58" s="19"/>
      <c r="AZN58" s="19"/>
      <c r="AZO58" s="19"/>
      <c r="AZP58" s="19"/>
      <c r="AZQ58" s="19"/>
      <c r="AZR58" s="19"/>
      <c r="AZS58" s="19"/>
      <c r="AZT58" s="19"/>
      <c r="AZU58" s="19"/>
      <c r="AZV58" s="19"/>
      <c r="AZW58" s="19"/>
      <c r="AZX58" s="19"/>
      <c r="AZY58" s="19"/>
      <c r="AZZ58" s="19"/>
      <c r="BAA58" s="19"/>
      <c r="BAB58" s="19"/>
      <c r="BAC58" s="19"/>
      <c r="BAD58" s="19"/>
      <c r="BAE58" s="19"/>
      <c r="BAF58" s="19"/>
      <c r="BAG58" s="19"/>
      <c r="BAH58" s="19"/>
      <c r="BAI58" s="19"/>
      <c r="BAJ58" s="19"/>
      <c r="BAK58" s="19"/>
      <c r="BAL58" s="19"/>
      <c r="BAM58" s="19"/>
      <c r="BAN58" s="19"/>
      <c r="BAO58" s="19"/>
      <c r="BAP58" s="19"/>
      <c r="BAQ58" s="19"/>
      <c r="BAR58" s="19"/>
      <c r="BAS58" s="19"/>
      <c r="BAT58" s="19"/>
      <c r="BAU58" s="19"/>
      <c r="BAV58" s="19"/>
      <c r="BAW58" s="19"/>
      <c r="BAX58" s="19"/>
      <c r="BAY58" s="19"/>
      <c r="BAZ58" s="19"/>
      <c r="BBA58" s="19"/>
      <c r="BBB58" s="19"/>
      <c r="BBC58" s="19"/>
      <c r="BBD58" s="19"/>
      <c r="BBE58" s="19"/>
      <c r="BBF58" s="19"/>
      <c r="BBG58" s="19"/>
      <c r="BBH58" s="19"/>
      <c r="BBI58" s="19"/>
      <c r="BBJ58" s="19"/>
      <c r="BBK58" s="19"/>
      <c r="BBL58" s="19"/>
      <c r="BBM58" s="19"/>
      <c r="BBN58" s="19"/>
      <c r="BBO58" s="19"/>
      <c r="BBP58" s="19"/>
      <c r="BBQ58" s="19"/>
      <c r="BBR58" s="19"/>
      <c r="BBS58" s="19"/>
      <c r="BBT58" s="19"/>
      <c r="BBU58" s="19"/>
      <c r="BBV58" s="19"/>
      <c r="BBW58" s="19"/>
      <c r="BBX58" s="19"/>
      <c r="BBY58" s="19"/>
      <c r="BBZ58" s="19"/>
      <c r="BCA58" s="19"/>
      <c r="BCB58" s="19"/>
      <c r="BCC58" s="19"/>
      <c r="BCD58" s="19"/>
      <c r="BCE58" s="19"/>
      <c r="BCF58" s="19"/>
      <c r="BCG58" s="19"/>
      <c r="BCH58" s="19"/>
      <c r="BCI58" s="19"/>
      <c r="BCJ58" s="19"/>
      <c r="BCK58" s="19"/>
      <c r="BCL58" s="19"/>
      <c r="BCM58" s="19"/>
      <c r="BCN58" s="19"/>
      <c r="BCO58" s="19"/>
      <c r="BCP58" s="19"/>
      <c r="BCQ58" s="19"/>
      <c r="BCR58" s="19"/>
      <c r="BCS58" s="19"/>
      <c r="BCT58" s="19"/>
      <c r="BCU58" s="19"/>
      <c r="BCV58" s="19"/>
      <c r="BCW58" s="19"/>
      <c r="BCX58" s="19"/>
      <c r="BCY58" s="19"/>
      <c r="BCZ58" s="19"/>
      <c r="BDA58" s="19"/>
      <c r="BDB58" s="19"/>
      <c r="BDC58" s="19"/>
      <c r="BDD58" s="19"/>
      <c r="BDE58" s="19"/>
      <c r="BDF58" s="19"/>
      <c r="BDG58" s="19"/>
      <c r="BDH58" s="19"/>
      <c r="BDI58" s="19"/>
      <c r="BDJ58" s="19"/>
      <c r="BDK58" s="19"/>
      <c r="BDL58" s="19"/>
      <c r="BDM58" s="19"/>
      <c r="BDN58" s="19"/>
      <c r="BDO58" s="19"/>
      <c r="BDP58" s="19"/>
      <c r="BDQ58" s="19"/>
      <c r="BDR58" s="19"/>
      <c r="BDS58" s="19"/>
      <c r="BDT58" s="19"/>
      <c r="BDU58" s="19"/>
      <c r="BDV58" s="19"/>
      <c r="BDW58" s="19"/>
      <c r="BDX58" s="19"/>
      <c r="BDY58" s="19"/>
      <c r="BDZ58" s="19"/>
      <c r="BEA58" s="19"/>
      <c r="BEB58" s="19"/>
      <c r="BEC58" s="19"/>
      <c r="BED58" s="19"/>
      <c r="BEE58" s="19"/>
      <c r="BEF58" s="19"/>
      <c r="BEG58" s="19"/>
      <c r="BEH58" s="19"/>
      <c r="BEI58" s="19"/>
      <c r="BEJ58" s="19"/>
      <c r="BEK58" s="19"/>
      <c r="BEL58" s="19"/>
      <c r="BEM58" s="19"/>
      <c r="BEN58" s="19"/>
      <c r="BEO58" s="19"/>
      <c r="BEP58" s="19"/>
      <c r="BEQ58" s="19"/>
      <c r="BER58" s="19"/>
      <c r="BES58" s="19"/>
      <c r="BET58" s="19"/>
      <c r="BEU58" s="19"/>
      <c r="BEV58" s="19"/>
      <c r="BEW58" s="19"/>
      <c r="BEX58" s="19"/>
      <c r="BEY58" s="19"/>
      <c r="BEZ58" s="19"/>
      <c r="BFA58" s="19"/>
      <c r="BFB58" s="19"/>
      <c r="BFC58" s="19"/>
      <c r="BFD58" s="19"/>
      <c r="BFE58" s="19"/>
      <c r="BFF58" s="19"/>
      <c r="BFG58" s="19"/>
      <c r="BFH58" s="19"/>
      <c r="BFI58" s="19"/>
      <c r="BFJ58" s="19"/>
      <c r="BFK58" s="19"/>
      <c r="BFL58" s="19"/>
      <c r="BFM58" s="19"/>
      <c r="BFN58" s="19"/>
      <c r="BFO58" s="19"/>
      <c r="BFP58" s="19"/>
      <c r="BFQ58" s="19"/>
      <c r="BFR58" s="19"/>
      <c r="BFS58" s="19"/>
      <c r="BFT58" s="19"/>
      <c r="BFU58" s="19"/>
      <c r="BFV58" s="19"/>
      <c r="BFW58" s="19"/>
      <c r="BFX58" s="19"/>
      <c r="BFY58" s="19"/>
      <c r="BFZ58" s="19"/>
      <c r="BGA58" s="19"/>
      <c r="BGB58" s="19"/>
      <c r="BGC58" s="19"/>
      <c r="BGD58" s="19"/>
      <c r="BGE58" s="19"/>
      <c r="BGF58" s="19"/>
      <c r="BGG58" s="19"/>
      <c r="BGH58" s="19"/>
      <c r="BGI58" s="19"/>
      <c r="BGJ58" s="19"/>
      <c r="BGK58" s="19"/>
      <c r="BGL58" s="19"/>
      <c r="BGM58" s="19"/>
      <c r="BGN58" s="19"/>
      <c r="BGO58" s="19"/>
      <c r="BGP58" s="19"/>
      <c r="BGQ58" s="19"/>
      <c r="BGR58" s="19"/>
      <c r="BGS58" s="19"/>
      <c r="BGT58" s="19"/>
      <c r="BGU58" s="19"/>
      <c r="BGV58" s="19"/>
      <c r="BGW58" s="19"/>
      <c r="BGX58" s="19"/>
      <c r="BGY58" s="19"/>
      <c r="BGZ58" s="19"/>
      <c r="BHA58" s="19"/>
      <c r="BHB58" s="19"/>
      <c r="BHC58" s="19"/>
      <c r="BHD58" s="19"/>
      <c r="BHE58" s="19"/>
      <c r="BHF58" s="19"/>
      <c r="BHG58" s="19"/>
      <c r="BHH58" s="19"/>
      <c r="BHI58" s="19"/>
      <c r="BHJ58" s="19"/>
      <c r="BHK58" s="19"/>
      <c r="BHL58" s="19"/>
      <c r="BHM58" s="19"/>
      <c r="BHN58" s="19"/>
      <c r="BHO58" s="19"/>
      <c r="BHP58" s="19"/>
      <c r="BHQ58" s="19"/>
      <c r="BHR58" s="19"/>
      <c r="BHS58" s="19"/>
      <c r="BHT58" s="19"/>
      <c r="BHU58" s="19"/>
      <c r="BHV58" s="19"/>
      <c r="BHW58" s="19"/>
      <c r="BHX58" s="19"/>
      <c r="BHY58" s="19"/>
      <c r="BHZ58" s="19"/>
      <c r="BIA58" s="19"/>
      <c r="BIB58" s="19"/>
      <c r="BIC58" s="19"/>
      <c r="BID58" s="19"/>
      <c r="BIE58" s="19"/>
      <c r="BIF58" s="19"/>
      <c r="BIG58" s="19"/>
      <c r="BIH58" s="19"/>
      <c r="BII58" s="19"/>
      <c r="BIJ58" s="19"/>
      <c r="BIK58" s="19"/>
      <c r="BIL58" s="19"/>
      <c r="BIM58" s="19"/>
      <c r="BIN58" s="19"/>
      <c r="BIO58" s="19"/>
      <c r="BIP58" s="19"/>
      <c r="BIQ58" s="19"/>
      <c r="BIR58" s="19"/>
      <c r="BIS58" s="19"/>
      <c r="BIT58" s="19"/>
      <c r="BIU58" s="19"/>
      <c r="BIV58" s="19"/>
      <c r="BIW58" s="19"/>
      <c r="BIX58" s="19"/>
      <c r="BIY58" s="19"/>
      <c r="BIZ58" s="19"/>
      <c r="BJA58" s="19"/>
      <c r="BJB58" s="19"/>
      <c r="BJC58" s="19"/>
      <c r="BJD58" s="19"/>
      <c r="BJE58" s="19"/>
      <c r="BJF58" s="19"/>
      <c r="BJG58" s="19"/>
      <c r="BJH58" s="19"/>
      <c r="BJI58" s="19"/>
      <c r="BJJ58" s="19"/>
      <c r="BJK58" s="19"/>
      <c r="BJL58" s="19"/>
      <c r="BJM58" s="19"/>
      <c r="BJN58" s="19"/>
      <c r="BJO58" s="19"/>
      <c r="BJP58" s="19"/>
      <c r="BJQ58" s="19"/>
      <c r="BJR58" s="19"/>
      <c r="BJS58" s="19"/>
      <c r="BJT58" s="19"/>
      <c r="BJU58" s="19"/>
      <c r="BJV58" s="19"/>
      <c r="BJW58" s="19"/>
      <c r="BJX58" s="19"/>
      <c r="BJY58" s="19"/>
      <c r="BJZ58" s="19"/>
      <c r="BKA58" s="19"/>
      <c r="BKB58" s="19"/>
      <c r="BKC58" s="19"/>
      <c r="BKD58" s="19"/>
      <c r="BKE58" s="19"/>
      <c r="BKF58" s="19"/>
      <c r="BKG58" s="19"/>
      <c r="BKH58" s="19"/>
      <c r="BKI58" s="19"/>
      <c r="BKJ58" s="19"/>
      <c r="BKK58" s="19"/>
      <c r="BKL58" s="19"/>
      <c r="BKM58" s="19"/>
      <c r="BKN58" s="19"/>
      <c r="BKO58" s="19"/>
      <c r="BKP58" s="19"/>
      <c r="BKQ58" s="19"/>
      <c r="BKR58" s="19"/>
      <c r="BKS58" s="19"/>
      <c r="BKT58" s="19"/>
      <c r="BKU58" s="19"/>
      <c r="BKV58" s="19"/>
      <c r="BKW58" s="19"/>
      <c r="BKX58" s="19"/>
      <c r="BKY58" s="19"/>
      <c r="BKZ58" s="19"/>
      <c r="BLA58" s="19"/>
      <c r="BLB58" s="19"/>
      <c r="BLC58" s="19"/>
      <c r="BLD58" s="19"/>
      <c r="BLE58" s="19"/>
      <c r="BLF58" s="19"/>
      <c r="BLG58" s="19"/>
      <c r="BLH58" s="19"/>
      <c r="BLI58" s="19"/>
      <c r="BLJ58" s="19"/>
      <c r="BLK58" s="19"/>
      <c r="BLL58" s="19"/>
      <c r="BLM58" s="19"/>
      <c r="BLN58" s="19"/>
      <c r="BLO58" s="19"/>
      <c r="BLP58" s="19"/>
      <c r="BLQ58" s="19"/>
      <c r="BLR58" s="19"/>
      <c r="BLS58" s="19"/>
      <c r="BLT58" s="19"/>
      <c r="BLU58" s="19"/>
      <c r="BLV58" s="19"/>
      <c r="BLW58" s="19"/>
      <c r="BLX58" s="19"/>
      <c r="BLY58" s="19"/>
      <c r="BLZ58" s="19"/>
      <c r="BMA58" s="19"/>
      <c r="BMB58" s="19"/>
      <c r="BMC58" s="19"/>
      <c r="BMD58" s="19"/>
      <c r="BME58" s="19"/>
      <c r="BMF58" s="19"/>
      <c r="BMG58" s="19"/>
      <c r="BMH58" s="19"/>
      <c r="BMI58" s="19"/>
      <c r="BMJ58" s="19"/>
      <c r="BMK58" s="19"/>
      <c r="BML58" s="19"/>
      <c r="BMM58" s="19"/>
      <c r="BMN58" s="19"/>
      <c r="BMO58" s="19"/>
      <c r="BMP58" s="19"/>
      <c r="BMQ58" s="19"/>
      <c r="BMR58" s="19"/>
      <c r="BMS58" s="19"/>
      <c r="BMT58" s="19"/>
      <c r="BMU58" s="19"/>
      <c r="BMV58" s="19"/>
      <c r="BMW58" s="19"/>
      <c r="BMX58" s="19"/>
      <c r="BMY58" s="19"/>
      <c r="BMZ58" s="19"/>
      <c r="BNA58" s="19"/>
      <c r="BNB58" s="19"/>
      <c r="BNC58" s="19"/>
      <c r="BND58" s="19"/>
      <c r="BNE58" s="19"/>
      <c r="BNF58" s="19"/>
      <c r="BNG58" s="19"/>
      <c r="BNH58" s="19"/>
      <c r="BNI58" s="19"/>
      <c r="BNJ58" s="19"/>
      <c r="BNK58" s="19"/>
      <c r="BNL58" s="19"/>
      <c r="BNM58" s="19"/>
      <c r="BNN58" s="19"/>
      <c r="BNO58" s="19"/>
      <c r="BNP58" s="19"/>
      <c r="BNQ58" s="19"/>
      <c r="BNR58" s="19"/>
      <c r="BNS58" s="19"/>
      <c r="BNT58" s="19"/>
      <c r="BNU58" s="19"/>
      <c r="BNV58" s="19"/>
      <c r="BNW58" s="19"/>
      <c r="BNX58" s="19"/>
      <c r="BNY58" s="19"/>
      <c r="BNZ58" s="19"/>
      <c r="BOA58" s="19"/>
      <c r="BOB58" s="19"/>
      <c r="BOC58" s="19"/>
      <c r="BOD58" s="19"/>
      <c r="BOE58" s="19"/>
      <c r="BOF58" s="19"/>
      <c r="BOG58" s="19"/>
      <c r="BOH58" s="19"/>
      <c r="BOI58" s="19"/>
      <c r="BOJ58" s="19"/>
      <c r="BOK58" s="19"/>
      <c r="BOL58" s="19"/>
      <c r="BOM58" s="19"/>
      <c r="BON58" s="19"/>
      <c r="BOO58" s="19"/>
      <c r="BOP58" s="19"/>
      <c r="BOQ58" s="19"/>
      <c r="BOR58" s="19"/>
      <c r="BOS58" s="19"/>
      <c r="BOT58" s="19"/>
      <c r="BOU58" s="19"/>
      <c r="BOV58" s="19"/>
      <c r="BOW58" s="19"/>
      <c r="BOX58" s="19"/>
      <c r="BOY58" s="19"/>
      <c r="BOZ58" s="19"/>
      <c r="BPA58" s="19"/>
      <c r="BPB58" s="19"/>
      <c r="BPC58" s="19"/>
      <c r="BPD58" s="19"/>
      <c r="BPE58" s="19"/>
      <c r="BPF58" s="19"/>
      <c r="BPG58" s="19"/>
      <c r="BPH58" s="19"/>
      <c r="BPI58" s="19"/>
      <c r="BPJ58" s="19"/>
      <c r="BPK58" s="19"/>
      <c r="BPL58" s="19"/>
      <c r="BPM58" s="19"/>
      <c r="BPN58" s="19"/>
      <c r="BPO58" s="19"/>
      <c r="BPP58" s="19"/>
      <c r="BPQ58" s="19"/>
      <c r="BPR58" s="19"/>
      <c r="BPS58" s="19"/>
      <c r="BPT58" s="19"/>
      <c r="BPU58" s="19"/>
      <c r="BPV58" s="19"/>
      <c r="BPW58" s="19"/>
      <c r="BPX58" s="19"/>
      <c r="BPY58" s="19"/>
      <c r="BPZ58" s="19"/>
      <c r="BQA58" s="19"/>
      <c r="BQB58" s="19"/>
      <c r="BQC58" s="19"/>
      <c r="BQD58" s="19"/>
      <c r="BQE58" s="19"/>
      <c r="BQF58" s="19"/>
      <c r="BQG58" s="19"/>
      <c r="BQH58" s="19"/>
      <c r="BQI58" s="19"/>
      <c r="BQJ58" s="19"/>
      <c r="BQK58" s="19"/>
      <c r="BQL58" s="19"/>
      <c r="BQM58" s="19"/>
      <c r="BQN58" s="19"/>
      <c r="BQO58" s="19"/>
      <c r="BQP58" s="19"/>
      <c r="BQQ58" s="19"/>
      <c r="BQR58" s="19"/>
      <c r="BQS58" s="19"/>
      <c r="BQT58" s="19"/>
      <c r="BQU58" s="19"/>
      <c r="BQV58" s="19"/>
      <c r="BQW58" s="19"/>
      <c r="BQX58" s="19"/>
      <c r="BQY58" s="19"/>
      <c r="BQZ58" s="19"/>
      <c r="BRA58" s="19"/>
      <c r="BRB58" s="19"/>
      <c r="BRC58" s="19"/>
      <c r="BRD58" s="19"/>
      <c r="BRE58" s="19"/>
      <c r="BRF58" s="19"/>
      <c r="BRG58" s="19"/>
      <c r="BRH58" s="19"/>
      <c r="BRI58" s="19"/>
      <c r="BRJ58" s="19"/>
      <c r="BRK58" s="19"/>
      <c r="BRL58" s="19"/>
      <c r="BRM58" s="19"/>
      <c r="BRN58" s="19"/>
      <c r="BRO58" s="19"/>
      <c r="BRP58" s="19"/>
      <c r="BRQ58" s="19"/>
      <c r="BRR58" s="19"/>
      <c r="BRS58" s="19"/>
      <c r="BRT58" s="19"/>
      <c r="BRU58" s="19"/>
      <c r="BRV58" s="19"/>
      <c r="BRW58" s="19"/>
      <c r="BRX58" s="19"/>
      <c r="BRY58" s="19"/>
      <c r="BRZ58" s="19"/>
      <c r="BSA58" s="19"/>
      <c r="BSB58" s="19"/>
      <c r="BSC58" s="19"/>
      <c r="BSD58" s="19"/>
      <c r="BSE58" s="19"/>
      <c r="BSF58" s="19"/>
      <c r="BSG58" s="19"/>
      <c r="BSH58" s="19"/>
      <c r="BSI58" s="19"/>
      <c r="BSJ58" s="19"/>
      <c r="BSK58" s="19"/>
      <c r="BSL58" s="19"/>
      <c r="BSM58" s="19"/>
      <c r="BSN58" s="19"/>
      <c r="BSO58" s="19"/>
      <c r="BSP58" s="19"/>
      <c r="BSQ58" s="19"/>
      <c r="BSR58" s="19"/>
      <c r="BSS58" s="19"/>
      <c r="BST58" s="19"/>
      <c r="BSU58" s="19"/>
      <c r="BSV58" s="19"/>
      <c r="BSW58" s="19"/>
      <c r="BSX58" s="19"/>
      <c r="BSY58" s="19"/>
      <c r="BSZ58" s="19"/>
      <c r="BTA58" s="19"/>
      <c r="BTB58" s="19"/>
      <c r="BTC58" s="19"/>
      <c r="BTD58" s="19"/>
      <c r="BTE58" s="19"/>
      <c r="BTF58" s="19"/>
      <c r="BTG58" s="19"/>
      <c r="BTH58" s="19"/>
      <c r="BTI58" s="19"/>
      <c r="BTJ58" s="19"/>
      <c r="BTK58" s="19"/>
      <c r="BTL58" s="19"/>
      <c r="BTM58" s="19"/>
      <c r="BTN58" s="19"/>
      <c r="BTO58" s="19"/>
      <c r="BTP58" s="19"/>
      <c r="BTQ58" s="19"/>
      <c r="BTR58" s="19"/>
      <c r="BTS58" s="19"/>
      <c r="BTT58" s="19"/>
      <c r="BTU58" s="19"/>
      <c r="BTV58" s="19"/>
      <c r="BTW58" s="19"/>
      <c r="BTX58" s="19"/>
      <c r="BTY58" s="19"/>
      <c r="BTZ58" s="19"/>
      <c r="BUA58" s="19"/>
      <c r="BUB58" s="19"/>
      <c r="BUC58" s="19"/>
      <c r="BUD58" s="19"/>
      <c r="BUE58" s="19"/>
      <c r="BUF58" s="19"/>
      <c r="BUG58" s="19"/>
      <c r="BUH58" s="19"/>
      <c r="BUI58" s="19"/>
      <c r="BUJ58" s="19"/>
      <c r="BUK58" s="19"/>
      <c r="BUL58" s="19"/>
      <c r="BUM58" s="19"/>
      <c r="BUN58" s="19"/>
      <c r="BUO58" s="19"/>
      <c r="BUP58" s="19"/>
      <c r="BUQ58" s="19"/>
      <c r="BUR58" s="19"/>
      <c r="BUS58" s="19"/>
      <c r="BUT58" s="19"/>
      <c r="BUU58" s="19"/>
      <c r="BUV58" s="19"/>
      <c r="BUW58" s="19"/>
      <c r="BUX58" s="19"/>
      <c r="BUY58" s="19"/>
      <c r="BUZ58" s="19"/>
      <c r="BVA58" s="19"/>
      <c r="BVB58" s="19"/>
      <c r="BVC58" s="19"/>
      <c r="BVD58" s="19"/>
      <c r="BVE58" s="19"/>
      <c r="BVF58" s="19"/>
      <c r="BVG58" s="19"/>
      <c r="BVH58" s="19"/>
      <c r="BVI58" s="19"/>
      <c r="BVJ58" s="19"/>
      <c r="BVK58" s="19"/>
      <c r="BVL58" s="19"/>
      <c r="BVM58" s="19"/>
      <c r="BVN58" s="19"/>
      <c r="BVO58" s="19"/>
      <c r="BVP58" s="19"/>
      <c r="BVQ58" s="19"/>
      <c r="BVR58" s="19"/>
      <c r="BVS58" s="19"/>
      <c r="BVT58" s="19"/>
      <c r="BVU58" s="19"/>
      <c r="BVV58" s="19"/>
      <c r="BVW58" s="19"/>
      <c r="BVX58" s="19"/>
      <c r="BVY58" s="19"/>
      <c r="BVZ58" s="19"/>
      <c r="BWA58" s="19"/>
      <c r="BWB58" s="19"/>
      <c r="BWC58" s="19"/>
      <c r="BWD58" s="19"/>
      <c r="BWE58" s="19"/>
      <c r="BWF58" s="19"/>
      <c r="BWG58" s="19"/>
      <c r="BWH58" s="19"/>
      <c r="BWI58" s="19"/>
      <c r="BWJ58" s="19"/>
      <c r="BWK58" s="19"/>
      <c r="BWL58" s="19"/>
      <c r="BWM58" s="19"/>
      <c r="BWN58" s="19"/>
      <c r="BWO58" s="19"/>
      <c r="BWP58" s="19"/>
      <c r="BWQ58" s="19"/>
      <c r="BWR58" s="19"/>
      <c r="BWS58" s="19"/>
      <c r="BWT58" s="19"/>
      <c r="BWU58" s="19"/>
      <c r="BWV58" s="19"/>
      <c r="BWW58" s="19"/>
      <c r="BWX58" s="19"/>
      <c r="BWY58" s="19"/>
      <c r="BWZ58" s="19"/>
      <c r="BXA58" s="19"/>
      <c r="BXB58" s="19"/>
      <c r="BXC58" s="19"/>
      <c r="BXD58" s="19"/>
      <c r="BXE58" s="19"/>
      <c r="BXF58" s="19"/>
      <c r="BXG58" s="19"/>
      <c r="BXH58" s="19"/>
      <c r="BXI58" s="19"/>
      <c r="BXJ58" s="19"/>
      <c r="BXK58" s="19"/>
      <c r="BXL58" s="19"/>
      <c r="BXM58" s="19"/>
      <c r="BXN58" s="19"/>
      <c r="BXO58" s="19"/>
      <c r="BXP58" s="19"/>
      <c r="BXQ58" s="19"/>
      <c r="BXR58" s="19"/>
      <c r="BXS58" s="19"/>
      <c r="BXT58" s="19"/>
      <c r="BXU58" s="19"/>
      <c r="BXV58" s="19"/>
      <c r="BXW58" s="19"/>
      <c r="BXX58" s="19"/>
      <c r="BXY58" s="19"/>
      <c r="BXZ58" s="19"/>
      <c r="BYA58" s="19"/>
      <c r="BYB58" s="19"/>
      <c r="BYC58" s="19"/>
      <c r="BYD58" s="19"/>
      <c r="BYE58" s="19"/>
      <c r="BYF58" s="19"/>
      <c r="BYG58" s="19"/>
      <c r="BYH58" s="19"/>
      <c r="BYI58" s="19"/>
      <c r="BYJ58" s="19"/>
      <c r="BYK58" s="19"/>
      <c r="BYL58" s="19"/>
      <c r="BYM58" s="19"/>
      <c r="BYN58" s="19"/>
      <c r="BYO58" s="19"/>
      <c r="BYP58" s="19"/>
      <c r="BYQ58" s="19"/>
      <c r="BYR58" s="19"/>
      <c r="BYS58" s="19"/>
      <c r="BYT58" s="19"/>
      <c r="BYU58" s="19"/>
      <c r="BYV58" s="19"/>
      <c r="BYW58" s="19"/>
      <c r="BYX58" s="19"/>
      <c r="BYY58" s="19"/>
      <c r="BYZ58" s="19"/>
      <c r="BZA58" s="19"/>
      <c r="BZB58" s="19"/>
      <c r="BZC58" s="19"/>
      <c r="BZD58" s="19"/>
      <c r="BZE58" s="19"/>
      <c r="BZF58" s="19"/>
      <c r="BZG58" s="19"/>
      <c r="BZH58" s="19"/>
      <c r="BZI58" s="19"/>
      <c r="BZJ58" s="19"/>
      <c r="BZK58" s="19"/>
      <c r="BZL58" s="19"/>
      <c r="BZM58" s="19"/>
      <c r="BZN58" s="19"/>
      <c r="BZO58" s="19"/>
      <c r="BZP58" s="19"/>
      <c r="BZQ58" s="19"/>
      <c r="BZR58" s="19"/>
      <c r="BZS58" s="19"/>
      <c r="BZT58" s="19"/>
      <c r="BZU58" s="19"/>
      <c r="BZV58" s="19"/>
      <c r="BZW58" s="19"/>
      <c r="BZX58" s="19"/>
      <c r="BZY58" s="19"/>
      <c r="BZZ58" s="19"/>
      <c r="CAA58" s="19"/>
      <c r="CAB58" s="19"/>
      <c r="CAC58" s="19"/>
      <c r="CAD58" s="19"/>
      <c r="CAE58" s="19"/>
      <c r="CAF58" s="19"/>
      <c r="CAG58" s="19"/>
      <c r="CAH58" s="19"/>
      <c r="CAI58" s="19"/>
      <c r="CAJ58" s="19"/>
      <c r="CAK58" s="19"/>
      <c r="CAL58" s="19"/>
      <c r="CAM58" s="19"/>
      <c r="CAN58" s="19"/>
      <c r="CAO58" s="19"/>
      <c r="CAP58" s="19"/>
      <c r="CAQ58" s="19"/>
      <c r="CAR58" s="19"/>
      <c r="CAS58" s="19"/>
      <c r="CAT58" s="19"/>
      <c r="CAU58" s="19"/>
      <c r="CAV58" s="19"/>
      <c r="CAW58" s="19"/>
      <c r="CAX58" s="19"/>
      <c r="CAY58" s="19"/>
      <c r="CAZ58" s="19"/>
      <c r="CBA58" s="19"/>
      <c r="CBB58" s="19"/>
      <c r="CBC58" s="19"/>
      <c r="CBD58" s="19"/>
      <c r="CBE58" s="19"/>
      <c r="CBF58" s="19"/>
      <c r="CBG58" s="19"/>
      <c r="CBH58" s="19"/>
      <c r="CBI58" s="19"/>
      <c r="CBJ58" s="19"/>
      <c r="CBK58" s="19"/>
      <c r="CBL58" s="19"/>
      <c r="CBM58" s="19"/>
      <c r="CBN58" s="19"/>
      <c r="CBO58" s="19"/>
      <c r="CBP58" s="19"/>
      <c r="CBQ58" s="19"/>
      <c r="CBR58" s="19"/>
      <c r="CBS58" s="19"/>
      <c r="CBT58" s="19"/>
      <c r="CBU58" s="19"/>
      <c r="CBV58" s="19"/>
      <c r="CBW58" s="19"/>
      <c r="CBX58" s="19"/>
      <c r="CBY58" s="19"/>
      <c r="CBZ58" s="19"/>
      <c r="CCA58" s="19"/>
      <c r="CCB58" s="19"/>
      <c r="CCC58" s="19"/>
      <c r="CCD58" s="19"/>
      <c r="CCE58" s="19"/>
      <c r="CCF58" s="19"/>
      <c r="CCG58" s="19"/>
      <c r="CCH58" s="19"/>
      <c r="CCI58" s="19"/>
      <c r="CCJ58" s="19"/>
      <c r="CCK58" s="19"/>
      <c r="CCL58" s="19"/>
      <c r="CCM58" s="19"/>
      <c r="CCN58" s="19"/>
      <c r="CCO58" s="19"/>
      <c r="CCP58" s="19"/>
      <c r="CCQ58" s="19"/>
      <c r="CCR58" s="19"/>
      <c r="CCS58" s="19"/>
      <c r="CCT58" s="19"/>
      <c r="CCU58" s="19"/>
      <c r="CCV58" s="19"/>
      <c r="CCW58" s="19"/>
      <c r="CCX58" s="19"/>
      <c r="CCY58" s="19"/>
      <c r="CCZ58" s="19"/>
      <c r="CDA58" s="19"/>
      <c r="CDB58" s="19"/>
      <c r="CDC58" s="19"/>
      <c r="CDD58" s="19"/>
      <c r="CDE58" s="19"/>
      <c r="CDF58" s="19"/>
      <c r="CDG58" s="19"/>
      <c r="CDH58" s="19"/>
      <c r="CDI58" s="19"/>
      <c r="CDJ58" s="19"/>
      <c r="CDK58" s="19"/>
      <c r="CDL58" s="19"/>
      <c r="CDM58" s="19"/>
      <c r="CDN58" s="19"/>
      <c r="CDO58" s="19"/>
      <c r="CDP58" s="19"/>
      <c r="CDQ58" s="19"/>
      <c r="CDR58" s="19"/>
      <c r="CDS58" s="19"/>
      <c r="CDT58" s="19"/>
      <c r="CDU58" s="19"/>
      <c r="CDV58" s="19"/>
      <c r="CDW58" s="19"/>
      <c r="CDX58" s="19"/>
      <c r="CDY58" s="19"/>
      <c r="CDZ58" s="19"/>
      <c r="CEA58" s="19"/>
      <c r="CEB58" s="19"/>
      <c r="CEC58" s="19"/>
      <c r="CED58" s="19"/>
      <c r="CEE58" s="19"/>
      <c r="CEF58" s="19"/>
      <c r="CEG58" s="19"/>
      <c r="CEH58" s="19"/>
      <c r="CEI58" s="19"/>
      <c r="CEJ58" s="19"/>
      <c r="CEK58" s="19"/>
      <c r="CEL58" s="19"/>
      <c r="CEM58" s="19"/>
      <c r="CEN58" s="19"/>
      <c r="CEO58" s="19"/>
      <c r="CEP58" s="19"/>
      <c r="CEQ58" s="19"/>
      <c r="CER58" s="19"/>
      <c r="CES58" s="19"/>
      <c r="CET58" s="19"/>
      <c r="CEU58" s="19"/>
      <c r="CEV58" s="19"/>
      <c r="CEW58" s="19"/>
      <c r="CEX58" s="19"/>
      <c r="CEY58" s="19"/>
      <c r="CEZ58" s="19"/>
      <c r="CFA58" s="19"/>
      <c r="CFB58" s="19"/>
      <c r="CFC58" s="19"/>
      <c r="CFD58" s="19"/>
      <c r="CFE58" s="19"/>
      <c r="CFF58" s="19"/>
      <c r="CFG58" s="19"/>
      <c r="CFH58" s="19"/>
      <c r="CFI58" s="19"/>
      <c r="CFJ58" s="19"/>
      <c r="CFK58" s="19"/>
      <c r="CFL58" s="19"/>
      <c r="CFM58" s="19"/>
      <c r="CFN58" s="19"/>
      <c r="CFO58" s="19"/>
      <c r="CFP58" s="19"/>
      <c r="CFQ58" s="19"/>
      <c r="CFR58" s="19"/>
      <c r="CFS58" s="19"/>
      <c r="CFT58" s="19"/>
      <c r="CFU58" s="19"/>
      <c r="CFV58" s="19"/>
      <c r="CFW58" s="19"/>
      <c r="CFX58" s="19"/>
      <c r="CFY58" s="19"/>
      <c r="CFZ58" s="19"/>
      <c r="CGA58" s="19"/>
      <c r="CGB58" s="19"/>
      <c r="CGC58" s="19"/>
      <c r="CGD58" s="19"/>
      <c r="CGE58" s="19"/>
      <c r="CGF58" s="19"/>
      <c r="CGG58" s="19"/>
      <c r="CGH58" s="19"/>
      <c r="CGI58" s="19"/>
      <c r="CGJ58" s="19"/>
      <c r="CGK58" s="19"/>
      <c r="CGL58" s="19"/>
      <c r="CGM58" s="19"/>
      <c r="CGN58" s="19"/>
      <c r="CGO58" s="19"/>
      <c r="CGP58" s="19"/>
      <c r="CGQ58" s="19"/>
      <c r="CGR58" s="19"/>
      <c r="CGS58" s="19"/>
      <c r="CGT58" s="19"/>
      <c r="CGU58" s="19"/>
      <c r="CGV58" s="19"/>
      <c r="CGW58" s="19"/>
      <c r="CGX58" s="19"/>
      <c r="CGY58" s="19"/>
      <c r="CGZ58" s="19"/>
      <c r="CHA58" s="19"/>
      <c r="CHB58" s="19"/>
      <c r="CHC58" s="19"/>
      <c r="CHD58" s="19"/>
      <c r="CHE58" s="19"/>
      <c r="CHF58" s="19"/>
      <c r="CHG58" s="19"/>
      <c r="CHH58" s="19"/>
      <c r="CHI58" s="19"/>
      <c r="CHJ58" s="19"/>
      <c r="CHK58" s="19"/>
      <c r="CHL58" s="19"/>
      <c r="CHM58" s="19"/>
      <c r="CHN58" s="19"/>
      <c r="CHO58" s="19"/>
      <c r="CHP58" s="19"/>
      <c r="CHQ58" s="19"/>
      <c r="CHR58" s="19"/>
      <c r="CHS58" s="19"/>
      <c r="CHT58" s="19"/>
      <c r="CHU58" s="19"/>
      <c r="CHV58" s="19"/>
      <c r="CHW58" s="19"/>
      <c r="CHX58" s="19"/>
      <c r="CHY58" s="19"/>
      <c r="CHZ58" s="19"/>
      <c r="CIA58" s="19"/>
      <c r="CIB58" s="19"/>
      <c r="CIC58" s="19"/>
      <c r="CID58" s="19"/>
      <c r="CIE58" s="19"/>
      <c r="CIF58" s="19"/>
      <c r="CIG58" s="19"/>
      <c r="CIH58" s="19"/>
      <c r="CII58" s="19"/>
      <c r="CIJ58" s="19"/>
      <c r="CIK58" s="19"/>
      <c r="CIL58" s="19"/>
      <c r="CIM58" s="19"/>
      <c r="CIN58" s="19"/>
      <c r="CIO58" s="19"/>
      <c r="CIP58" s="19"/>
      <c r="CIQ58" s="19"/>
      <c r="CIR58" s="19"/>
      <c r="CIS58" s="19"/>
      <c r="CIT58" s="19"/>
      <c r="CIU58" s="19"/>
      <c r="CIV58" s="19"/>
      <c r="CIW58" s="19"/>
      <c r="CIX58" s="19"/>
      <c r="CIY58" s="19"/>
      <c r="CIZ58" s="19"/>
      <c r="CJA58" s="19"/>
      <c r="CJB58" s="19"/>
      <c r="CJC58" s="19"/>
      <c r="CJD58" s="19"/>
      <c r="CJE58" s="19"/>
      <c r="CJF58" s="19"/>
      <c r="CJG58" s="19"/>
      <c r="CJH58" s="19"/>
      <c r="CJI58" s="19"/>
      <c r="CJJ58" s="19"/>
      <c r="CJK58" s="19"/>
      <c r="CJL58" s="19"/>
      <c r="CJM58" s="19"/>
      <c r="CJN58" s="19"/>
      <c r="CJO58" s="19"/>
      <c r="CJP58" s="19"/>
      <c r="CJQ58" s="19"/>
      <c r="CJR58" s="19"/>
      <c r="CJS58" s="19"/>
      <c r="CJT58" s="19"/>
      <c r="CJU58" s="19"/>
      <c r="CJV58" s="19"/>
      <c r="CJW58" s="19"/>
      <c r="CJX58" s="19"/>
      <c r="CJY58" s="19"/>
      <c r="CJZ58" s="19"/>
      <c r="CKA58" s="19"/>
      <c r="CKB58" s="19"/>
      <c r="CKC58" s="19"/>
      <c r="CKD58" s="19"/>
      <c r="CKE58" s="19"/>
      <c r="CKF58" s="19"/>
      <c r="CKG58" s="19"/>
      <c r="CKH58" s="19"/>
      <c r="CKI58" s="19"/>
      <c r="CKJ58" s="19"/>
      <c r="CKK58" s="19"/>
      <c r="CKL58" s="19"/>
      <c r="CKM58" s="19"/>
      <c r="CKN58" s="19"/>
      <c r="CKO58" s="19"/>
      <c r="CKP58" s="19"/>
      <c r="CKQ58" s="19"/>
      <c r="CKR58" s="19"/>
      <c r="CKS58" s="19"/>
      <c r="CKT58" s="19"/>
      <c r="CKU58" s="19"/>
      <c r="CKV58" s="19"/>
      <c r="CKW58" s="19"/>
      <c r="CKX58" s="19"/>
      <c r="CKY58" s="19"/>
      <c r="CKZ58" s="19"/>
      <c r="CLA58" s="19"/>
      <c r="CLB58" s="19"/>
      <c r="CLC58" s="19"/>
      <c r="CLD58" s="19"/>
      <c r="CLE58" s="19"/>
      <c r="CLF58" s="19"/>
      <c r="CLG58" s="19"/>
      <c r="CLH58" s="19"/>
      <c r="CLI58" s="19"/>
      <c r="CLJ58" s="19"/>
      <c r="CLK58" s="19"/>
      <c r="CLL58" s="19"/>
      <c r="CLM58" s="19"/>
      <c r="CLN58" s="19"/>
      <c r="CLO58" s="19"/>
      <c r="CLP58" s="19"/>
      <c r="CLQ58" s="19"/>
      <c r="CLR58" s="19"/>
      <c r="CLS58" s="19"/>
      <c r="CLT58" s="19"/>
      <c r="CLU58" s="19"/>
      <c r="CLV58" s="19"/>
      <c r="CLW58" s="19"/>
      <c r="CLX58" s="19"/>
      <c r="CLY58" s="19"/>
      <c r="CLZ58" s="19"/>
      <c r="CMA58" s="19"/>
      <c r="CMB58" s="19"/>
      <c r="CMC58" s="19"/>
      <c r="CMD58" s="19"/>
      <c r="CME58" s="19"/>
      <c r="CMF58" s="19"/>
      <c r="CMG58" s="19"/>
      <c r="CMH58" s="19"/>
      <c r="CMI58" s="19"/>
      <c r="CMJ58" s="19"/>
      <c r="CMK58" s="19"/>
      <c r="CML58" s="19"/>
      <c r="CMM58" s="19"/>
      <c r="CMN58" s="19"/>
      <c r="CMO58" s="19"/>
      <c r="CMP58" s="19"/>
      <c r="CMQ58" s="19"/>
      <c r="CMR58" s="19"/>
      <c r="CMS58" s="19"/>
      <c r="CMT58" s="19"/>
      <c r="CMU58" s="19"/>
      <c r="CMV58" s="19"/>
      <c r="CMW58" s="19"/>
      <c r="CMX58" s="19"/>
      <c r="CMY58" s="19"/>
      <c r="CMZ58" s="19"/>
      <c r="CNA58" s="19"/>
      <c r="CNB58" s="19"/>
      <c r="CNC58" s="19"/>
      <c r="CND58" s="19"/>
      <c r="CNE58" s="19"/>
      <c r="CNF58" s="19"/>
      <c r="CNG58" s="19"/>
      <c r="CNH58" s="19"/>
      <c r="CNI58" s="19"/>
      <c r="CNJ58" s="19"/>
      <c r="CNK58" s="19"/>
      <c r="CNL58" s="19"/>
      <c r="CNM58" s="19"/>
      <c r="CNN58" s="19"/>
      <c r="CNO58" s="19"/>
      <c r="CNP58" s="19"/>
      <c r="CNQ58" s="19"/>
      <c r="CNR58" s="19"/>
      <c r="CNS58" s="19"/>
      <c r="CNT58" s="19"/>
      <c r="CNU58" s="19"/>
      <c r="CNV58" s="19"/>
      <c r="CNW58" s="19"/>
      <c r="CNX58" s="19"/>
      <c r="CNY58" s="19"/>
      <c r="CNZ58" s="19"/>
      <c r="COA58" s="19"/>
      <c r="COB58" s="19"/>
      <c r="COC58" s="19"/>
      <c r="COD58" s="19"/>
      <c r="COE58" s="19"/>
      <c r="COF58" s="19"/>
      <c r="COG58" s="19"/>
      <c r="COH58" s="19"/>
      <c r="COI58" s="19"/>
      <c r="COJ58" s="19"/>
      <c r="COK58" s="19"/>
      <c r="COL58" s="19"/>
      <c r="COM58" s="19"/>
      <c r="CON58" s="19"/>
      <c r="COO58" s="19"/>
      <c r="COP58" s="19"/>
      <c r="COQ58" s="19"/>
      <c r="COR58" s="19"/>
      <c r="COS58" s="19"/>
      <c r="COT58" s="19"/>
      <c r="COU58" s="19"/>
      <c r="COV58" s="19"/>
      <c r="COW58" s="19"/>
      <c r="COX58" s="19"/>
      <c r="COY58" s="19"/>
      <c r="COZ58" s="19"/>
      <c r="CPA58" s="19"/>
      <c r="CPB58" s="19"/>
      <c r="CPC58" s="19"/>
      <c r="CPD58" s="19"/>
      <c r="CPE58" s="19"/>
      <c r="CPF58" s="19"/>
      <c r="CPG58" s="19"/>
      <c r="CPH58" s="19"/>
      <c r="CPI58" s="19"/>
      <c r="CPJ58" s="19"/>
      <c r="CPK58" s="19"/>
      <c r="CPL58" s="19"/>
      <c r="CPM58" s="19"/>
      <c r="CPN58" s="19"/>
      <c r="CPO58" s="19"/>
      <c r="CPP58" s="19"/>
      <c r="CPQ58" s="19"/>
      <c r="CPR58" s="19"/>
      <c r="CPS58" s="19"/>
      <c r="CPT58" s="19"/>
      <c r="CPU58" s="19"/>
      <c r="CPV58" s="19"/>
      <c r="CPW58" s="19"/>
      <c r="CPX58" s="19"/>
      <c r="CPY58" s="19"/>
      <c r="CPZ58" s="19"/>
      <c r="CQA58" s="19"/>
      <c r="CQB58" s="19"/>
      <c r="CQC58" s="19"/>
      <c r="CQD58" s="19"/>
      <c r="CQE58" s="19"/>
      <c r="CQF58" s="19"/>
      <c r="CQG58" s="19"/>
      <c r="CQH58" s="19"/>
      <c r="CQI58" s="19"/>
      <c r="CQJ58" s="19"/>
      <c r="CQK58" s="19"/>
      <c r="CQL58" s="19"/>
      <c r="CQM58" s="19"/>
      <c r="CQN58" s="19"/>
      <c r="CQO58" s="19"/>
      <c r="CQP58" s="19"/>
      <c r="CQQ58" s="19"/>
      <c r="CQR58" s="19"/>
      <c r="CQS58" s="19"/>
      <c r="CQT58" s="19"/>
      <c r="CQU58" s="19"/>
      <c r="CQV58" s="19"/>
      <c r="CQW58" s="19"/>
      <c r="CQX58" s="19"/>
      <c r="CQY58" s="19"/>
      <c r="CQZ58" s="19"/>
      <c r="CRA58" s="19"/>
      <c r="CRB58" s="19"/>
      <c r="CRC58" s="19"/>
      <c r="CRD58" s="19"/>
      <c r="CRE58" s="19"/>
      <c r="CRF58" s="19"/>
      <c r="CRG58" s="19"/>
      <c r="CRH58" s="19"/>
      <c r="CRI58" s="19"/>
      <c r="CRJ58" s="19"/>
      <c r="CRK58" s="19"/>
      <c r="CRL58" s="19"/>
      <c r="CRM58" s="19"/>
      <c r="CRN58" s="19"/>
      <c r="CRO58" s="19"/>
      <c r="CRP58" s="19"/>
      <c r="CRQ58" s="19"/>
      <c r="CRR58" s="19"/>
      <c r="CRS58" s="19"/>
      <c r="CRT58" s="19"/>
      <c r="CRU58" s="19"/>
      <c r="CRV58" s="19"/>
      <c r="CRW58" s="19"/>
      <c r="CRX58" s="19"/>
      <c r="CRY58" s="19"/>
      <c r="CRZ58" s="19"/>
      <c r="CSA58" s="19"/>
      <c r="CSB58" s="19"/>
      <c r="CSC58" s="19"/>
      <c r="CSD58" s="19"/>
      <c r="CSE58" s="19"/>
      <c r="CSF58" s="19"/>
      <c r="CSG58" s="19"/>
      <c r="CSH58" s="19"/>
      <c r="CSI58" s="19"/>
      <c r="CSJ58" s="19"/>
      <c r="CSK58" s="19"/>
      <c r="CSL58" s="19"/>
      <c r="CSM58" s="19"/>
      <c r="CSN58" s="19"/>
      <c r="CSO58" s="19"/>
      <c r="CSP58" s="19"/>
      <c r="CSQ58" s="19"/>
      <c r="CSR58" s="19"/>
      <c r="CSS58" s="19"/>
      <c r="CST58" s="19"/>
      <c r="CSU58" s="19"/>
      <c r="CSV58" s="19"/>
      <c r="CSW58" s="19"/>
      <c r="CSX58" s="19"/>
      <c r="CSY58" s="19"/>
      <c r="CSZ58" s="19"/>
      <c r="CTA58" s="19"/>
      <c r="CTB58" s="19"/>
      <c r="CTC58" s="19"/>
      <c r="CTD58" s="19"/>
      <c r="CTE58" s="19"/>
      <c r="CTF58" s="19"/>
      <c r="CTG58" s="19"/>
      <c r="CTH58" s="19"/>
      <c r="CTI58" s="19"/>
      <c r="CTJ58" s="19"/>
      <c r="CTK58" s="19"/>
      <c r="CTL58" s="19"/>
      <c r="CTM58" s="19"/>
      <c r="CTN58" s="19"/>
      <c r="CTO58" s="19"/>
      <c r="CTP58" s="19"/>
      <c r="CTQ58" s="19"/>
      <c r="CTR58" s="19"/>
      <c r="CTS58" s="19"/>
      <c r="CTT58" s="19"/>
      <c r="CTU58" s="19"/>
      <c r="CTV58" s="19"/>
      <c r="CTW58" s="19"/>
      <c r="CTX58" s="19"/>
      <c r="CTY58" s="19"/>
      <c r="CTZ58" s="19"/>
      <c r="CUA58" s="19"/>
    </row>
    <row r="59" s="21" customFormat="1" ht="12.6" spans="1:2575">
      <c r="A59" s="50"/>
      <c r="B59" s="100"/>
      <c r="C59" s="101"/>
      <c r="D59" s="50"/>
      <c r="E59" s="113"/>
      <c r="F59" s="114"/>
      <c r="G59" s="114"/>
      <c r="H59" s="112" t="s">
        <v>123</v>
      </c>
      <c r="I59" s="20">
        <f>2.5033</f>
        <v>2.5033</v>
      </c>
      <c r="J59" s="150">
        <f>0.0047</f>
        <v>0.0047</v>
      </c>
      <c r="K59" s="150"/>
      <c r="L59" s="148">
        <f t="shared" si="54"/>
        <v>0.57025174</v>
      </c>
      <c r="M59" s="148">
        <f t="shared" si="55"/>
        <v>0.34570573</v>
      </c>
      <c r="N59" s="148">
        <f t="shared" si="56"/>
        <v>0.46223425845</v>
      </c>
      <c r="O59" s="148">
        <f t="shared" si="57"/>
        <v>0.50066</v>
      </c>
      <c r="P59" s="148">
        <f t="shared" si="58"/>
        <v>0.45159532</v>
      </c>
      <c r="Q59" s="148">
        <f t="shared" si="59"/>
        <v>0.48771546248376</v>
      </c>
      <c r="R59" s="148">
        <f t="shared" si="60"/>
        <v>5.32616251093376</v>
      </c>
      <c r="T59" s="19" t="s">
        <v>81</v>
      </c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  <c r="AMM59" s="19"/>
      <c r="AMN59" s="19"/>
      <c r="AMO59" s="19"/>
      <c r="AMP59" s="19"/>
      <c r="AMQ59" s="19"/>
      <c r="AMR59" s="19"/>
      <c r="AMS59" s="19"/>
      <c r="AMT59" s="19"/>
      <c r="AMU59" s="19"/>
      <c r="AMV59" s="19"/>
      <c r="AMW59" s="19"/>
      <c r="AMX59" s="19"/>
      <c r="AMY59" s="19"/>
      <c r="AMZ59" s="19"/>
      <c r="ANA59" s="19"/>
      <c r="ANB59" s="19"/>
      <c r="ANC59" s="19"/>
      <c r="AND59" s="19"/>
      <c r="ANE59" s="19"/>
      <c r="ANF59" s="19"/>
      <c r="ANG59" s="19"/>
      <c r="ANH59" s="19"/>
      <c r="ANI59" s="19"/>
      <c r="ANJ59" s="19"/>
      <c r="ANK59" s="19"/>
      <c r="ANL59" s="19"/>
      <c r="ANM59" s="19"/>
      <c r="ANN59" s="19"/>
      <c r="ANO59" s="19"/>
      <c r="ANP59" s="19"/>
      <c r="ANQ59" s="19"/>
      <c r="ANR59" s="19"/>
      <c r="ANS59" s="19"/>
      <c r="ANT59" s="19"/>
      <c r="ANU59" s="19"/>
      <c r="ANV59" s="19"/>
      <c r="ANW59" s="19"/>
      <c r="ANX59" s="19"/>
      <c r="ANY59" s="19"/>
      <c r="ANZ59" s="19"/>
      <c r="AOA59" s="19"/>
      <c r="AOB59" s="19"/>
      <c r="AOC59" s="19"/>
      <c r="AOD59" s="19"/>
      <c r="AOE59" s="19"/>
      <c r="AOF59" s="19"/>
      <c r="AOG59" s="19"/>
      <c r="AOH59" s="19"/>
      <c r="AOI59" s="19"/>
      <c r="AOJ59" s="19"/>
      <c r="AOK59" s="19"/>
      <c r="AOL59" s="19"/>
      <c r="AOM59" s="19"/>
      <c r="AON59" s="19"/>
      <c r="AOO59" s="19"/>
      <c r="AOP59" s="19"/>
      <c r="AOQ59" s="19"/>
      <c r="AOR59" s="19"/>
      <c r="AOS59" s="19"/>
      <c r="AOT59" s="19"/>
      <c r="AOU59" s="19"/>
      <c r="AOV59" s="19"/>
      <c r="AOW59" s="19"/>
      <c r="AOX59" s="19"/>
      <c r="AOY59" s="19"/>
      <c r="AOZ59" s="19"/>
      <c r="APA59" s="19"/>
      <c r="APB59" s="19"/>
      <c r="APC59" s="19"/>
      <c r="APD59" s="19"/>
      <c r="APE59" s="19"/>
      <c r="APF59" s="19"/>
      <c r="APG59" s="19"/>
      <c r="APH59" s="19"/>
      <c r="API59" s="19"/>
      <c r="APJ59" s="19"/>
      <c r="APK59" s="19"/>
      <c r="APL59" s="19"/>
      <c r="APM59" s="19"/>
      <c r="APN59" s="19"/>
      <c r="APO59" s="19"/>
      <c r="APP59" s="19"/>
      <c r="APQ59" s="19"/>
      <c r="APR59" s="19"/>
      <c r="APS59" s="19"/>
      <c r="APT59" s="19"/>
      <c r="APU59" s="19"/>
      <c r="APV59" s="19"/>
      <c r="APW59" s="19"/>
      <c r="APX59" s="19"/>
      <c r="APY59" s="19"/>
      <c r="APZ59" s="19"/>
      <c r="AQA59" s="19"/>
      <c r="AQB59" s="19"/>
      <c r="AQC59" s="19"/>
      <c r="AQD59" s="19"/>
      <c r="AQE59" s="19"/>
      <c r="AQF59" s="19"/>
      <c r="AQG59" s="19"/>
      <c r="AQH59" s="19"/>
      <c r="AQI59" s="19"/>
      <c r="AQJ59" s="19"/>
      <c r="AQK59" s="19"/>
      <c r="AQL59" s="19"/>
      <c r="AQM59" s="19"/>
      <c r="AQN59" s="19"/>
      <c r="AQO59" s="19"/>
      <c r="AQP59" s="19"/>
      <c r="AQQ59" s="19"/>
      <c r="AQR59" s="19"/>
      <c r="AQS59" s="19"/>
      <c r="AQT59" s="19"/>
      <c r="AQU59" s="19"/>
      <c r="AQV59" s="19"/>
      <c r="AQW59" s="19"/>
      <c r="AQX59" s="19"/>
      <c r="AQY59" s="19"/>
      <c r="AQZ59" s="19"/>
      <c r="ARA59" s="19"/>
      <c r="ARB59" s="19"/>
      <c r="ARC59" s="19"/>
      <c r="ARD59" s="19"/>
      <c r="ARE59" s="19"/>
      <c r="ARF59" s="19"/>
      <c r="ARG59" s="19"/>
      <c r="ARH59" s="19"/>
      <c r="ARI59" s="19"/>
      <c r="ARJ59" s="19"/>
      <c r="ARK59" s="19"/>
      <c r="ARL59" s="19"/>
      <c r="ARM59" s="19"/>
      <c r="ARN59" s="19"/>
      <c r="ARO59" s="19"/>
      <c r="ARP59" s="19"/>
      <c r="ARQ59" s="19"/>
      <c r="ARR59" s="19"/>
      <c r="ARS59" s="19"/>
      <c r="ART59" s="19"/>
      <c r="ARU59" s="19"/>
      <c r="ARV59" s="19"/>
      <c r="ARW59" s="19"/>
      <c r="ARX59" s="19"/>
      <c r="ARY59" s="19"/>
      <c r="ARZ59" s="19"/>
      <c r="ASA59" s="19"/>
      <c r="ASB59" s="19"/>
      <c r="ASC59" s="19"/>
      <c r="ASD59" s="19"/>
      <c r="ASE59" s="19"/>
      <c r="ASF59" s="19"/>
      <c r="ASG59" s="19"/>
      <c r="ASH59" s="19"/>
      <c r="ASI59" s="19"/>
      <c r="ASJ59" s="19"/>
      <c r="ASK59" s="19"/>
      <c r="ASL59" s="19"/>
      <c r="ASM59" s="19"/>
      <c r="ASN59" s="19"/>
      <c r="ASO59" s="19"/>
      <c r="ASP59" s="19"/>
      <c r="ASQ59" s="19"/>
      <c r="ASR59" s="19"/>
      <c r="ASS59" s="19"/>
      <c r="AST59" s="19"/>
      <c r="ASU59" s="19"/>
      <c r="ASV59" s="19"/>
      <c r="ASW59" s="19"/>
      <c r="ASX59" s="19"/>
      <c r="ASY59" s="19"/>
      <c r="ASZ59" s="19"/>
      <c r="ATA59" s="19"/>
      <c r="ATB59" s="19"/>
      <c r="ATC59" s="19"/>
      <c r="ATD59" s="19"/>
      <c r="ATE59" s="19"/>
      <c r="ATF59" s="19"/>
      <c r="ATG59" s="19"/>
      <c r="ATH59" s="19"/>
      <c r="ATI59" s="19"/>
      <c r="ATJ59" s="19"/>
      <c r="ATK59" s="19"/>
      <c r="ATL59" s="19"/>
      <c r="ATM59" s="19"/>
      <c r="ATN59" s="19"/>
      <c r="ATO59" s="19"/>
      <c r="ATP59" s="19"/>
      <c r="ATQ59" s="19"/>
      <c r="ATR59" s="19"/>
      <c r="ATS59" s="19"/>
      <c r="ATT59" s="19"/>
      <c r="ATU59" s="19"/>
      <c r="ATV59" s="19"/>
      <c r="ATW59" s="19"/>
      <c r="ATX59" s="19"/>
      <c r="ATY59" s="19"/>
      <c r="ATZ59" s="19"/>
      <c r="AUA59" s="19"/>
      <c r="AUB59" s="19"/>
      <c r="AUC59" s="19"/>
      <c r="AUD59" s="19"/>
      <c r="AUE59" s="19"/>
      <c r="AUF59" s="19"/>
      <c r="AUG59" s="19"/>
      <c r="AUH59" s="19"/>
      <c r="AUI59" s="19"/>
      <c r="AUJ59" s="19"/>
      <c r="AUK59" s="19"/>
      <c r="AUL59" s="19"/>
      <c r="AUM59" s="19"/>
      <c r="AUN59" s="19"/>
      <c r="AUO59" s="19"/>
      <c r="AUP59" s="19"/>
      <c r="AUQ59" s="19"/>
      <c r="AUR59" s="19"/>
      <c r="AUS59" s="19"/>
      <c r="AUT59" s="19"/>
      <c r="AUU59" s="19"/>
      <c r="AUV59" s="19"/>
      <c r="AUW59" s="19"/>
      <c r="AUX59" s="19"/>
      <c r="AUY59" s="19"/>
      <c r="AUZ59" s="19"/>
      <c r="AVA59" s="19"/>
      <c r="AVB59" s="19"/>
      <c r="AVC59" s="19"/>
      <c r="AVD59" s="19"/>
      <c r="AVE59" s="19"/>
      <c r="AVF59" s="19"/>
      <c r="AVG59" s="19"/>
      <c r="AVH59" s="19"/>
      <c r="AVI59" s="19"/>
      <c r="AVJ59" s="19"/>
      <c r="AVK59" s="19"/>
      <c r="AVL59" s="19"/>
      <c r="AVM59" s="19"/>
      <c r="AVN59" s="19"/>
      <c r="AVO59" s="19"/>
      <c r="AVP59" s="19"/>
      <c r="AVQ59" s="19"/>
      <c r="AVR59" s="19"/>
      <c r="AVS59" s="19"/>
      <c r="AVT59" s="19"/>
      <c r="AVU59" s="19"/>
      <c r="AVV59" s="19"/>
      <c r="AVW59" s="19"/>
      <c r="AVX59" s="19"/>
      <c r="AVY59" s="19"/>
      <c r="AVZ59" s="19"/>
      <c r="AWA59" s="19"/>
      <c r="AWB59" s="19"/>
      <c r="AWC59" s="19"/>
      <c r="AWD59" s="19"/>
      <c r="AWE59" s="19"/>
      <c r="AWF59" s="19"/>
      <c r="AWG59" s="19"/>
      <c r="AWH59" s="19"/>
      <c r="AWI59" s="19"/>
      <c r="AWJ59" s="19"/>
      <c r="AWK59" s="19"/>
      <c r="AWL59" s="19"/>
      <c r="AWM59" s="19"/>
      <c r="AWN59" s="19"/>
      <c r="AWO59" s="19"/>
      <c r="AWP59" s="19"/>
      <c r="AWQ59" s="19"/>
      <c r="AWR59" s="19"/>
      <c r="AWS59" s="19"/>
      <c r="AWT59" s="19"/>
      <c r="AWU59" s="19"/>
      <c r="AWV59" s="19"/>
      <c r="AWW59" s="19"/>
      <c r="AWX59" s="19"/>
      <c r="AWY59" s="19"/>
      <c r="AWZ59" s="19"/>
      <c r="AXA59" s="19"/>
      <c r="AXB59" s="19"/>
      <c r="AXC59" s="19"/>
      <c r="AXD59" s="19"/>
      <c r="AXE59" s="19"/>
      <c r="AXF59" s="19"/>
      <c r="AXG59" s="19"/>
      <c r="AXH59" s="19"/>
      <c r="AXI59" s="19"/>
      <c r="AXJ59" s="19"/>
      <c r="AXK59" s="19"/>
      <c r="AXL59" s="19"/>
      <c r="AXM59" s="19"/>
      <c r="AXN59" s="19"/>
      <c r="AXO59" s="19"/>
      <c r="AXP59" s="19"/>
      <c r="AXQ59" s="19"/>
      <c r="AXR59" s="19"/>
      <c r="AXS59" s="19"/>
      <c r="AXT59" s="19"/>
      <c r="AXU59" s="19"/>
      <c r="AXV59" s="19"/>
      <c r="AXW59" s="19"/>
      <c r="AXX59" s="19"/>
      <c r="AXY59" s="19"/>
      <c r="AXZ59" s="19"/>
      <c r="AYA59" s="19"/>
      <c r="AYB59" s="19"/>
      <c r="AYC59" s="19"/>
      <c r="AYD59" s="19"/>
      <c r="AYE59" s="19"/>
      <c r="AYF59" s="19"/>
      <c r="AYG59" s="19"/>
      <c r="AYH59" s="19"/>
      <c r="AYI59" s="19"/>
      <c r="AYJ59" s="19"/>
      <c r="AYK59" s="19"/>
      <c r="AYL59" s="19"/>
      <c r="AYM59" s="19"/>
      <c r="AYN59" s="19"/>
      <c r="AYO59" s="19"/>
      <c r="AYP59" s="19"/>
      <c r="AYQ59" s="19"/>
      <c r="AYR59" s="19"/>
      <c r="AYS59" s="19"/>
      <c r="AYT59" s="19"/>
      <c r="AYU59" s="19"/>
      <c r="AYV59" s="19"/>
      <c r="AYW59" s="19"/>
      <c r="AYX59" s="19"/>
      <c r="AYY59" s="19"/>
      <c r="AYZ59" s="19"/>
      <c r="AZA59" s="19"/>
      <c r="AZB59" s="19"/>
      <c r="AZC59" s="19"/>
      <c r="AZD59" s="19"/>
      <c r="AZE59" s="19"/>
      <c r="AZF59" s="19"/>
      <c r="AZG59" s="19"/>
      <c r="AZH59" s="19"/>
      <c r="AZI59" s="19"/>
      <c r="AZJ59" s="19"/>
      <c r="AZK59" s="19"/>
      <c r="AZL59" s="19"/>
      <c r="AZM59" s="19"/>
      <c r="AZN59" s="19"/>
      <c r="AZO59" s="19"/>
      <c r="AZP59" s="19"/>
      <c r="AZQ59" s="19"/>
      <c r="AZR59" s="19"/>
      <c r="AZS59" s="19"/>
      <c r="AZT59" s="19"/>
      <c r="AZU59" s="19"/>
      <c r="AZV59" s="19"/>
      <c r="AZW59" s="19"/>
      <c r="AZX59" s="19"/>
      <c r="AZY59" s="19"/>
      <c r="AZZ59" s="19"/>
      <c r="BAA59" s="19"/>
      <c r="BAB59" s="19"/>
      <c r="BAC59" s="19"/>
      <c r="BAD59" s="19"/>
      <c r="BAE59" s="19"/>
      <c r="BAF59" s="19"/>
      <c r="BAG59" s="19"/>
      <c r="BAH59" s="19"/>
      <c r="BAI59" s="19"/>
      <c r="BAJ59" s="19"/>
      <c r="BAK59" s="19"/>
      <c r="BAL59" s="19"/>
      <c r="BAM59" s="19"/>
      <c r="BAN59" s="19"/>
      <c r="BAO59" s="19"/>
      <c r="BAP59" s="19"/>
      <c r="BAQ59" s="19"/>
      <c r="BAR59" s="19"/>
      <c r="BAS59" s="19"/>
      <c r="BAT59" s="19"/>
      <c r="BAU59" s="19"/>
      <c r="BAV59" s="19"/>
      <c r="BAW59" s="19"/>
      <c r="BAX59" s="19"/>
      <c r="BAY59" s="19"/>
      <c r="BAZ59" s="19"/>
      <c r="BBA59" s="19"/>
      <c r="BBB59" s="19"/>
      <c r="BBC59" s="19"/>
      <c r="BBD59" s="19"/>
      <c r="BBE59" s="19"/>
      <c r="BBF59" s="19"/>
      <c r="BBG59" s="19"/>
      <c r="BBH59" s="19"/>
      <c r="BBI59" s="19"/>
      <c r="BBJ59" s="19"/>
      <c r="BBK59" s="19"/>
      <c r="BBL59" s="19"/>
      <c r="BBM59" s="19"/>
      <c r="BBN59" s="19"/>
      <c r="BBO59" s="19"/>
      <c r="BBP59" s="19"/>
      <c r="BBQ59" s="19"/>
      <c r="BBR59" s="19"/>
      <c r="BBS59" s="19"/>
      <c r="BBT59" s="19"/>
      <c r="BBU59" s="19"/>
      <c r="BBV59" s="19"/>
      <c r="BBW59" s="19"/>
      <c r="BBX59" s="19"/>
      <c r="BBY59" s="19"/>
      <c r="BBZ59" s="19"/>
      <c r="BCA59" s="19"/>
      <c r="BCB59" s="19"/>
      <c r="BCC59" s="19"/>
      <c r="BCD59" s="19"/>
      <c r="BCE59" s="19"/>
      <c r="BCF59" s="19"/>
      <c r="BCG59" s="19"/>
      <c r="BCH59" s="19"/>
      <c r="BCI59" s="19"/>
      <c r="BCJ59" s="19"/>
      <c r="BCK59" s="19"/>
      <c r="BCL59" s="19"/>
      <c r="BCM59" s="19"/>
      <c r="BCN59" s="19"/>
      <c r="BCO59" s="19"/>
      <c r="BCP59" s="19"/>
      <c r="BCQ59" s="19"/>
      <c r="BCR59" s="19"/>
      <c r="BCS59" s="19"/>
      <c r="BCT59" s="19"/>
      <c r="BCU59" s="19"/>
      <c r="BCV59" s="19"/>
      <c r="BCW59" s="19"/>
      <c r="BCX59" s="19"/>
      <c r="BCY59" s="19"/>
      <c r="BCZ59" s="19"/>
      <c r="BDA59" s="19"/>
      <c r="BDB59" s="19"/>
      <c r="BDC59" s="19"/>
      <c r="BDD59" s="19"/>
      <c r="BDE59" s="19"/>
      <c r="BDF59" s="19"/>
      <c r="BDG59" s="19"/>
      <c r="BDH59" s="19"/>
      <c r="BDI59" s="19"/>
      <c r="BDJ59" s="19"/>
      <c r="BDK59" s="19"/>
      <c r="BDL59" s="19"/>
      <c r="BDM59" s="19"/>
      <c r="BDN59" s="19"/>
      <c r="BDO59" s="19"/>
      <c r="BDP59" s="19"/>
      <c r="BDQ59" s="19"/>
      <c r="BDR59" s="19"/>
      <c r="BDS59" s="19"/>
      <c r="BDT59" s="19"/>
      <c r="BDU59" s="19"/>
      <c r="BDV59" s="19"/>
      <c r="BDW59" s="19"/>
      <c r="BDX59" s="19"/>
      <c r="BDY59" s="19"/>
      <c r="BDZ59" s="19"/>
      <c r="BEA59" s="19"/>
      <c r="BEB59" s="19"/>
      <c r="BEC59" s="19"/>
      <c r="BED59" s="19"/>
      <c r="BEE59" s="19"/>
      <c r="BEF59" s="19"/>
      <c r="BEG59" s="19"/>
      <c r="BEH59" s="19"/>
      <c r="BEI59" s="19"/>
      <c r="BEJ59" s="19"/>
      <c r="BEK59" s="19"/>
      <c r="BEL59" s="19"/>
      <c r="BEM59" s="19"/>
      <c r="BEN59" s="19"/>
      <c r="BEO59" s="19"/>
      <c r="BEP59" s="19"/>
      <c r="BEQ59" s="19"/>
      <c r="BER59" s="19"/>
      <c r="BES59" s="19"/>
      <c r="BET59" s="19"/>
      <c r="BEU59" s="19"/>
      <c r="BEV59" s="19"/>
      <c r="BEW59" s="19"/>
      <c r="BEX59" s="19"/>
      <c r="BEY59" s="19"/>
      <c r="BEZ59" s="19"/>
      <c r="BFA59" s="19"/>
      <c r="BFB59" s="19"/>
      <c r="BFC59" s="19"/>
      <c r="BFD59" s="19"/>
      <c r="BFE59" s="19"/>
      <c r="BFF59" s="19"/>
      <c r="BFG59" s="19"/>
      <c r="BFH59" s="19"/>
      <c r="BFI59" s="19"/>
      <c r="BFJ59" s="19"/>
      <c r="BFK59" s="19"/>
      <c r="BFL59" s="19"/>
      <c r="BFM59" s="19"/>
      <c r="BFN59" s="19"/>
      <c r="BFO59" s="19"/>
      <c r="BFP59" s="19"/>
      <c r="BFQ59" s="19"/>
      <c r="BFR59" s="19"/>
      <c r="BFS59" s="19"/>
      <c r="BFT59" s="19"/>
      <c r="BFU59" s="19"/>
      <c r="BFV59" s="19"/>
      <c r="BFW59" s="19"/>
      <c r="BFX59" s="19"/>
      <c r="BFY59" s="19"/>
      <c r="BFZ59" s="19"/>
      <c r="BGA59" s="19"/>
      <c r="BGB59" s="19"/>
      <c r="BGC59" s="19"/>
      <c r="BGD59" s="19"/>
      <c r="BGE59" s="19"/>
      <c r="BGF59" s="19"/>
      <c r="BGG59" s="19"/>
      <c r="BGH59" s="19"/>
      <c r="BGI59" s="19"/>
      <c r="BGJ59" s="19"/>
      <c r="BGK59" s="19"/>
      <c r="BGL59" s="19"/>
      <c r="BGM59" s="19"/>
      <c r="BGN59" s="19"/>
      <c r="BGO59" s="19"/>
      <c r="BGP59" s="19"/>
      <c r="BGQ59" s="19"/>
      <c r="BGR59" s="19"/>
      <c r="BGS59" s="19"/>
      <c r="BGT59" s="19"/>
      <c r="BGU59" s="19"/>
      <c r="BGV59" s="19"/>
      <c r="BGW59" s="19"/>
      <c r="BGX59" s="19"/>
      <c r="BGY59" s="19"/>
      <c r="BGZ59" s="19"/>
      <c r="BHA59" s="19"/>
      <c r="BHB59" s="19"/>
      <c r="BHC59" s="19"/>
      <c r="BHD59" s="19"/>
      <c r="BHE59" s="19"/>
      <c r="BHF59" s="19"/>
      <c r="BHG59" s="19"/>
      <c r="BHH59" s="19"/>
      <c r="BHI59" s="19"/>
      <c r="BHJ59" s="19"/>
      <c r="BHK59" s="19"/>
      <c r="BHL59" s="19"/>
      <c r="BHM59" s="19"/>
      <c r="BHN59" s="19"/>
      <c r="BHO59" s="19"/>
      <c r="BHP59" s="19"/>
      <c r="BHQ59" s="19"/>
      <c r="BHR59" s="19"/>
      <c r="BHS59" s="19"/>
      <c r="BHT59" s="19"/>
      <c r="BHU59" s="19"/>
      <c r="BHV59" s="19"/>
      <c r="BHW59" s="19"/>
      <c r="BHX59" s="19"/>
      <c r="BHY59" s="19"/>
      <c r="BHZ59" s="19"/>
      <c r="BIA59" s="19"/>
      <c r="BIB59" s="19"/>
      <c r="BIC59" s="19"/>
      <c r="BID59" s="19"/>
      <c r="BIE59" s="19"/>
      <c r="BIF59" s="19"/>
      <c r="BIG59" s="19"/>
      <c r="BIH59" s="19"/>
      <c r="BII59" s="19"/>
      <c r="BIJ59" s="19"/>
      <c r="BIK59" s="19"/>
      <c r="BIL59" s="19"/>
      <c r="BIM59" s="19"/>
      <c r="BIN59" s="19"/>
      <c r="BIO59" s="19"/>
      <c r="BIP59" s="19"/>
      <c r="BIQ59" s="19"/>
      <c r="BIR59" s="19"/>
      <c r="BIS59" s="19"/>
      <c r="BIT59" s="19"/>
      <c r="BIU59" s="19"/>
      <c r="BIV59" s="19"/>
      <c r="BIW59" s="19"/>
      <c r="BIX59" s="19"/>
      <c r="BIY59" s="19"/>
      <c r="BIZ59" s="19"/>
      <c r="BJA59" s="19"/>
      <c r="BJB59" s="19"/>
      <c r="BJC59" s="19"/>
      <c r="BJD59" s="19"/>
      <c r="BJE59" s="19"/>
      <c r="BJF59" s="19"/>
      <c r="BJG59" s="19"/>
      <c r="BJH59" s="19"/>
      <c r="BJI59" s="19"/>
      <c r="BJJ59" s="19"/>
      <c r="BJK59" s="19"/>
      <c r="BJL59" s="19"/>
      <c r="BJM59" s="19"/>
      <c r="BJN59" s="19"/>
      <c r="BJO59" s="19"/>
      <c r="BJP59" s="19"/>
      <c r="BJQ59" s="19"/>
      <c r="BJR59" s="19"/>
      <c r="BJS59" s="19"/>
      <c r="BJT59" s="19"/>
      <c r="BJU59" s="19"/>
      <c r="BJV59" s="19"/>
      <c r="BJW59" s="19"/>
      <c r="BJX59" s="19"/>
      <c r="BJY59" s="19"/>
      <c r="BJZ59" s="19"/>
      <c r="BKA59" s="19"/>
      <c r="BKB59" s="19"/>
      <c r="BKC59" s="19"/>
      <c r="BKD59" s="19"/>
      <c r="BKE59" s="19"/>
      <c r="BKF59" s="19"/>
      <c r="BKG59" s="19"/>
      <c r="BKH59" s="19"/>
      <c r="BKI59" s="19"/>
      <c r="BKJ59" s="19"/>
      <c r="BKK59" s="19"/>
      <c r="BKL59" s="19"/>
      <c r="BKM59" s="19"/>
      <c r="BKN59" s="19"/>
      <c r="BKO59" s="19"/>
      <c r="BKP59" s="19"/>
      <c r="BKQ59" s="19"/>
      <c r="BKR59" s="19"/>
      <c r="BKS59" s="19"/>
      <c r="BKT59" s="19"/>
      <c r="BKU59" s="19"/>
      <c r="BKV59" s="19"/>
      <c r="BKW59" s="19"/>
      <c r="BKX59" s="19"/>
      <c r="BKY59" s="19"/>
      <c r="BKZ59" s="19"/>
      <c r="BLA59" s="19"/>
      <c r="BLB59" s="19"/>
      <c r="BLC59" s="19"/>
      <c r="BLD59" s="19"/>
      <c r="BLE59" s="19"/>
      <c r="BLF59" s="19"/>
      <c r="BLG59" s="19"/>
      <c r="BLH59" s="19"/>
      <c r="BLI59" s="19"/>
      <c r="BLJ59" s="19"/>
      <c r="BLK59" s="19"/>
      <c r="BLL59" s="19"/>
      <c r="BLM59" s="19"/>
      <c r="BLN59" s="19"/>
      <c r="BLO59" s="19"/>
      <c r="BLP59" s="19"/>
      <c r="BLQ59" s="19"/>
      <c r="BLR59" s="19"/>
      <c r="BLS59" s="19"/>
      <c r="BLT59" s="19"/>
      <c r="BLU59" s="19"/>
      <c r="BLV59" s="19"/>
      <c r="BLW59" s="19"/>
      <c r="BLX59" s="19"/>
      <c r="BLY59" s="19"/>
      <c r="BLZ59" s="19"/>
      <c r="BMA59" s="19"/>
      <c r="BMB59" s="19"/>
      <c r="BMC59" s="19"/>
      <c r="BMD59" s="19"/>
      <c r="BME59" s="19"/>
      <c r="BMF59" s="19"/>
      <c r="BMG59" s="19"/>
      <c r="BMH59" s="19"/>
      <c r="BMI59" s="19"/>
      <c r="BMJ59" s="19"/>
      <c r="BMK59" s="19"/>
      <c r="BML59" s="19"/>
      <c r="BMM59" s="19"/>
      <c r="BMN59" s="19"/>
      <c r="BMO59" s="19"/>
      <c r="BMP59" s="19"/>
      <c r="BMQ59" s="19"/>
      <c r="BMR59" s="19"/>
      <c r="BMS59" s="19"/>
      <c r="BMT59" s="19"/>
      <c r="BMU59" s="19"/>
      <c r="BMV59" s="19"/>
      <c r="BMW59" s="19"/>
      <c r="BMX59" s="19"/>
      <c r="BMY59" s="19"/>
      <c r="BMZ59" s="19"/>
      <c r="BNA59" s="19"/>
      <c r="BNB59" s="19"/>
      <c r="BNC59" s="19"/>
      <c r="BND59" s="19"/>
      <c r="BNE59" s="19"/>
      <c r="BNF59" s="19"/>
      <c r="BNG59" s="19"/>
      <c r="BNH59" s="19"/>
      <c r="BNI59" s="19"/>
      <c r="BNJ59" s="19"/>
      <c r="BNK59" s="19"/>
      <c r="BNL59" s="19"/>
      <c r="BNM59" s="19"/>
      <c r="BNN59" s="19"/>
      <c r="BNO59" s="19"/>
      <c r="BNP59" s="19"/>
      <c r="BNQ59" s="19"/>
      <c r="BNR59" s="19"/>
      <c r="BNS59" s="19"/>
      <c r="BNT59" s="19"/>
      <c r="BNU59" s="19"/>
      <c r="BNV59" s="19"/>
      <c r="BNW59" s="19"/>
      <c r="BNX59" s="19"/>
      <c r="BNY59" s="19"/>
      <c r="BNZ59" s="19"/>
      <c r="BOA59" s="19"/>
      <c r="BOB59" s="19"/>
      <c r="BOC59" s="19"/>
      <c r="BOD59" s="19"/>
      <c r="BOE59" s="19"/>
      <c r="BOF59" s="19"/>
      <c r="BOG59" s="19"/>
      <c r="BOH59" s="19"/>
      <c r="BOI59" s="19"/>
      <c r="BOJ59" s="19"/>
      <c r="BOK59" s="19"/>
      <c r="BOL59" s="19"/>
      <c r="BOM59" s="19"/>
      <c r="BON59" s="19"/>
      <c r="BOO59" s="19"/>
      <c r="BOP59" s="19"/>
      <c r="BOQ59" s="19"/>
      <c r="BOR59" s="19"/>
      <c r="BOS59" s="19"/>
      <c r="BOT59" s="19"/>
      <c r="BOU59" s="19"/>
      <c r="BOV59" s="19"/>
      <c r="BOW59" s="19"/>
      <c r="BOX59" s="19"/>
      <c r="BOY59" s="19"/>
      <c r="BOZ59" s="19"/>
      <c r="BPA59" s="19"/>
      <c r="BPB59" s="19"/>
      <c r="BPC59" s="19"/>
      <c r="BPD59" s="19"/>
      <c r="BPE59" s="19"/>
      <c r="BPF59" s="19"/>
      <c r="BPG59" s="19"/>
      <c r="BPH59" s="19"/>
      <c r="BPI59" s="19"/>
      <c r="BPJ59" s="19"/>
      <c r="BPK59" s="19"/>
      <c r="BPL59" s="19"/>
      <c r="BPM59" s="19"/>
      <c r="BPN59" s="19"/>
      <c r="BPO59" s="19"/>
      <c r="BPP59" s="19"/>
      <c r="BPQ59" s="19"/>
      <c r="BPR59" s="19"/>
      <c r="BPS59" s="19"/>
      <c r="BPT59" s="19"/>
      <c r="BPU59" s="19"/>
      <c r="BPV59" s="19"/>
      <c r="BPW59" s="19"/>
      <c r="BPX59" s="19"/>
      <c r="BPY59" s="19"/>
      <c r="BPZ59" s="19"/>
      <c r="BQA59" s="19"/>
      <c r="BQB59" s="19"/>
      <c r="BQC59" s="19"/>
      <c r="BQD59" s="19"/>
      <c r="BQE59" s="19"/>
      <c r="BQF59" s="19"/>
      <c r="BQG59" s="19"/>
      <c r="BQH59" s="19"/>
      <c r="BQI59" s="19"/>
      <c r="BQJ59" s="19"/>
      <c r="BQK59" s="19"/>
      <c r="BQL59" s="19"/>
      <c r="BQM59" s="19"/>
      <c r="BQN59" s="19"/>
      <c r="BQO59" s="19"/>
      <c r="BQP59" s="19"/>
      <c r="BQQ59" s="19"/>
      <c r="BQR59" s="19"/>
      <c r="BQS59" s="19"/>
      <c r="BQT59" s="19"/>
      <c r="BQU59" s="19"/>
      <c r="BQV59" s="19"/>
      <c r="BQW59" s="19"/>
      <c r="BQX59" s="19"/>
      <c r="BQY59" s="19"/>
      <c r="BQZ59" s="19"/>
      <c r="BRA59" s="19"/>
      <c r="BRB59" s="19"/>
      <c r="BRC59" s="19"/>
      <c r="BRD59" s="19"/>
      <c r="BRE59" s="19"/>
      <c r="BRF59" s="19"/>
      <c r="BRG59" s="19"/>
      <c r="BRH59" s="19"/>
      <c r="BRI59" s="19"/>
      <c r="BRJ59" s="19"/>
      <c r="BRK59" s="19"/>
      <c r="BRL59" s="19"/>
      <c r="BRM59" s="19"/>
      <c r="BRN59" s="19"/>
      <c r="BRO59" s="19"/>
      <c r="BRP59" s="19"/>
      <c r="BRQ59" s="19"/>
      <c r="BRR59" s="19"/>
      <c r="BRS59" s="19"/>
      <c r="BRT59" s="19"/>
      <c r="BRU59" s="19"/>
      <c r="BRV59" s="19"/>
      <c r="BRW59" s="19"/>
      <c r="BRX59" s="19"/>
      <c r="BRY59" s="19"/>
      <c r="BRZ59" s="19"/>
      <c r="BSA59" s="19"/>
      <c r="BSB59" s="19"/>
      <c r="BSC59" s="19"/>
      <c r="BSD59" s="19"/>
      <c r="BSE59" s="19"/>
      <c r="BSF59" s="19"/>
      <c r="BSG59" s="19"/>
      <c r="BSH59" s="19"/>
      <c r="BSI59" s="19"/>
      <c r="BSJ59" s="19"/>
      <c r="BSK59" s="19"/>
      <c r="BSL59" s="19"/>
      <c r="BSM59" s="19"/>
      <c r="BSN59" s="19"/>
      <c r="BSO59" s="19"/>
      <c r="BSP59" s="19"/>
      <c r="BSQ59" s="19"/>
      <c r="BSR59" s="19"/>
      <c r="BSS59" s="19"/>
      <c r="BST59" s="19"/>
      <c r="BSU59" s="19"/>
      <c r="BSV59" s="19"/>
      <c r="BSW59" s="19"/>
      <c r="BSX59" s="19"/>
      <c r="BSY59" s="19"/>
      <c r="BSZ59" s="19"/>
      <c r="BTA59" s="19"/>
      <c r="BTB59" s="19"/>
      <c r="BTC59" s="19"/>
      <c r="BTD59" s="19"/>
      <c r="BTE59" s="19"/>
      <c r="BTF59" s="19"/>
      <c r="BTG59" s="19"/>
      <c r="BTH59" s="19"/>
      <c r="BTI59" s="19"/>
      <c r="BTJ59" s="19"/>
      <c r="BTK59" s="19"/>
      <c r="BTL59" s="19"/>
      <c r="BTM59" s="19"/>
      <c r="BTN59" s="19"/>
      <c r="BTO59" s="19"/>
      <c r="BTP59" s="19"/>
      <c r="BTQ59" s="19"/>
      <c r="BTR59" s="19"/>
      <c r="BTS59" s="19"/>
      <c r="BTT59" s="19"/>
      <c r="BTU59" s="19"/>
      <c r="BTV59" s="19"/>
      <c r="BTW59" s="19"/>
      <c r="BTX59" s="19"/>
      <c r="BTY59" s="19"/>
      <c r="BTZ59" s="19"/>
      <c r="BUA59" s="19"/>
      <c r="BUB59" s="19"/>
      <c r="BUC59" s="19"/>
      <c r="BUD59" s="19"/>
      <c r="BUE59" s="19"/>
      <c r="BUF59" s="19"/>
      <c r="BUG59" s="19"/>
      <c r="BUH59" s="19"/>
      <c r="BUI59" s="19"/>
      <c r="BUJ59" s="19"/>
      <c r="BUK59" s="19"/>
      <c r="BUL59" s="19"/>
      <c r="BUM59" s="19"/>
      <c r="BUN59" s="19"/>
      <c r="BUO59" s="19"/>
      <c r="BUP59" s="19"/>
      <c r="BUQ59" s="19"/>
      <c r="BUR59" s="19"/>
      <c r="BUS59" s="19"/>
      <c r="BUT59" s="19"/>
      <c r="BUU59" s="19"/>
      <c r="BUV59" s="19"/>
      <c r="BUW59" s="19"/>
      <c r="BUX59" s="19"/>
      <c r="BUY59" s="19"/>
      <c r="BUZ59" s="19"/>
      <c r="BVA59" s="19"/>
      <c r="BVB59" s="19"/>
      <c r="BVC59" s="19"/>
      <c r="BVD59" s="19"/>
      <c r="BVE59" s="19"/>
      <c r="BVF59" s="19"/>
      <c r="BVG59" s="19"/>
      <c r="BVH59" s="19"/>
      <c r="BVI59" s="19"/>
      <c r="BVJ59" s="19"/>
      <c r="BVK59" s="19"/>
      <c r="BVL59" s="19"/>
      <c r="BVM59" s="19"/>
      <c r="BVN59" s="19"/>
      <c r="BVO59" s="19"/>
      <c r="BVP59" s="19"/>
      <c r="BVQ59" s="19"/>
      <c r="BVR59" s="19"/>
      <c r="BVS59" s="19"/>
      <c r="BVT59" s="19"/>
      <c r="BVU59" s="19"/>
      <c r="BVV59" s="19"/>
      <c r="BVW59" s="19"/>
      <c r="BVX59" s="19"/>
      <c r="BVY59" s="19"/>
      <c r="BVZ59" s="19"/>
      <c r="BWA59" s="19"/>
      <c r="BWB59" s="19"/>
      <c r="BWC59" s="19"/>
      <c r="BWD59" s="19"/>
      <c r="BWE59" s="19"/>
      <c r="BWF59" s="19"/>
      <c r="BWG59" s="19"/>
      <c r="BWH59" s="19"/>
      <c r="BWI59" s="19"/>
      <c r="BWJ59" s="19"/>
      <c r="BWK59" s="19"/>
      <c r="BWL59" s="19"/>
      <c r="BWM59" s="19"/>
      <c r="BWN59" s="19"/>
      <c r="BWO59" s="19"/>
      <c r="BWP59" s="19"/>
      <c r="BWQ59" s="19"/>
      <c r="BWR59" s="19"/>
      <c r="BWS59" s="19"/>
      <c r="BWT59" s="19"/>
      <c r="BWU59" s="19"/>
      <c r="BWV59" s="19"/>
      <c r="BWW59" s="19"/>
      <c r="BWX59" s="19"/>
      <c r="BWY59" s="19"/>
      <c r="BWZ59" s="19"/>
      <c r="BXA59" s="19"/>
      <c r="BXB59" s="19"/>
      <c r="BXC59" s="19"/>
      <c r="BXD59" s="19"/>
      <c r="BXE59" s="19"/>
      <c r="BXF59" s="19"/>
      <c r="BXG59" s="19"/>
      <c r="BXH59" s="19"/>
      <c r="BXI59" s="19"/>
      <c r="BXJ59" s="19"/>
      <c r="BXK59" s="19"/>
      <c r="BXL59" s="19"/>
      <c r="BXM59" s="19"/>
      <c r="BXN59" s="19"/>
      <c r="BXO59" s="19"/>
      <c r="BXP59" s="19"/>
      <c r="BXQ59" s="19"/>
      <c r="BXR59" s="19"/>
      <c r="BXS59" s="19"/>
      <c r="BXT59" s="19"/>
      <c r="BXU59" s="19"/>
      <c r="BXV59" s="19"/>
      <c r="BXW59" s="19"/>
      <c r="BXX59" s="19"/>
      <c r="BXY59" s="19"/>
      <c r="BXZ59" s="19"/>
      <c r="BYA59" s="19"/>
      <c r="BYB59" s="19"/>
      <c r="BYC59" s="19"/>
      <c r="BYD59" s="19"/>
      <c r="BYE59" s="19"/>
      <c r="BYF59" s="19"/>
      <c r="BYG59" s="19"/>
      <c r="BYH59" s="19"/>
      <c r="BYI59" s="19"/>
      <c r="BYJ59" s="19"/>
      <c r="BYK59" s="19"/>
      <c r="BYL59" s="19"/>
      <c r="BYM59" s="19"/>
      <c r="BYN59" s="19"/>
      <c r="BYO59" s="19"/>
      <c r="BYP59" s="19"/>
      <c r="BYQ59" s="19"/>
      <c r="BYR59" s="19"/>
      <c r="BYS59" s="19"/>
      <c r="BYT59" s="19"/>
      <c r="BYU59" s="19"/>
      <c r="BYV59" s="19"/>
      <c r="BYW59" s="19"/>
      <c r="BYX59" s="19"/>
      <c r="BYY59" s="19"/>
      <c r="BYZ59" s="19"/>
      <c r="BZA59" s="19"/>
      <c r="BZB59" s="19"/>
      <c r="BZC59" s="19"/>
      <c r="BZD59" s="19"/>
      <c r="BZE59" s="19"/>
      <c r="BZF59" s="19"/>
      <c r="BZG59" s="19"/>
      <c r="BZH59" s="19"/>
      <c r="BZI59" s="19"/>
      <c r="BZJ59" s="19"/>
      <c r="BZK59" s="19"/>
      <c r="BZL59" s="19"/>
      <c r="BZM59" s="19"/>
      <c r="BZN59" s="19"/>
      <c r="BZO59" s="19"/>
      <c r="BZP59" s="19"/>
      <c r="BZQ59" s="19"/>
      <c r="BZR59" s="19"/>
      <c r="BZS59" s="19"/>
      <c r="BZT59" s="19"/>
      <c r="BZU59" s="19"/>
      <c r="BZV59" s="19"/>
      <c r="BZW59" s="19"/>
      <c r="BZX59" s="19"/>
      <c r="BZY59" s="19"/>
      <c r="BZZ59" s="19"/>
      <c r="CAA59" s="19"/>
      <c r="CAB59" s="19"/>
      <c r="CAC59" s="19"/>
      <c r="CAD59" s="19"/>
      <c r="CAE59" s="19"/>
      <c r="CAF59" s="19"/>
      <c r="CAG59" s="19"/>
      <c r="CAH59" s="19"/>
      <c r="CAI59" s="19"/>
      <c r="CAJ59" s="19"/>
      <c r="CAK59" s="19"/>
      <c r="CAL59" s="19"/>
      <c r="CAM59" s="19"/>
      <c r="CAN59" s="19"/>
      <c r="CAO59" s="19"/>
      <c r="CAP59" s="19"/>
      <c r="CAQ59" s="19"/>
      <c r="CAR59" s="19"/>
      <c r="CAS59" s="19"/>
      <c r="CAT59" s="19"/>
      <c r="CAU59" s="19"/>
      <c r="CAV59" s="19"/>
      <c r="CAW59" s="19"/>
      <c r="CAX59" s="19"/>
      <c r="CAY59" s="19"/>
      <c r="CAZ59" s="19"/>
      <c r="CBA59" s="19"/>
      <c r="CBB59" s="19"/>
      <c r="CBC59" s="19"/>
      <c r="CBD59" s="19"/>
      <c r="CBE59" s="19"/>
      <c r="CBF59" s="19"/>
      <c r="CBG59" s="19"/>
      <c r="CBH59" s="19"/>
      <c r="CBI59" s="19"/>
      <c r="CBJ59" s="19"/>
      <c r="CBK59" s="19"/>
      <c r="CBL59" s="19"/>
      <c r="CBM59" s="19"/>
      <c r="CBN59" s="19"/>
      <c r="CBO59" s="19"/>
      <c r="CBP59" s="19"/>
      <c r="CBQ59" s="19"/>
      <c r="CBR59" s="19"/>
      <c r="CBS59" s="19"/>
      <c r="CBT59" s="19"/>
      <c r="CBU59" s="19"/>
      <c r="CBV59" s="19"/>
      <c r="CBW59" s="19"/>
      <c r="CBX59" s="19"/>
      <c r="CBY59" s="19"/>
      <c r="CBZ59" s="19"/>
      <c r="CCA59" s="19"/>
      <c r="CCB59" s="19"/>
      <c r="CCC59" s="19"/>
      <c r="CCD59" s="19"/>
      <c r="CCE59" s="19"/>
      <c r="CCF59" s="19"/>
      <c r="CCG59" s="19"/>
      <c r="CCH59" s="19"/>
      <c r="CCI59" s="19"/>
      <c r="CCJ59" s="19"/>
      <c r="CCK59" s="19"/>
      <c r="CCL59" s="19"/>
      <c r="CCM59" s="19"/>
      <c r="CCN59" s="19"/>
      <c r="CCO59" s="19"/>
      <c r="CCP59" s="19"/>
      <c r="CCQ59" s="19"/>
      <c r="CCR59" s="19"/>
      <c r="CCS59" s="19"/>
      <c r="CCT59" s="19"/>
      <c r="CCU59" s="19"/>
      <c r="CCV59" s="19"/>
      <c r="CCW59" s="19"/>
      <c r="CCX59" s="19"/>
      <c r="CCY59" s="19"/>
      <c r="CCZ59" s="19"/>
      <c r="CDA59" s="19"/>
      <c r="CDB59" s="19"/>
      <c r="CDC59" s="19"/>
      <c r="CDD59" s="19"/>
      <c r="CDE59" s="19"/>
      <c r="CDF59" s="19"/>
      <c r="CDG59" s="19"/>
      <c r="CDH59" s="19"/>
      <c r="CDI59" s="19"/>
      <c r="CDJ59" s="19"/>
      <c r="CDK59" s="19"/>
      <c r="CDL59" s="19"/>
      <c r="CDM59" s="19"/>
      <c r="CDN59" s="19"/>
      <c r="CDO59" s="19"/>
      <c r="CDP59" s="19"/>
      <c r="CDQ59" s="19"/>
      <c r="CDR59" s="19"/>
      <c r="CDS59" s="19"/>
      <c r="CDT59" s="19"/>
      <c r="CDU59" s="19"/>
      <c r="CDV59" s="19"/>
      <c r="CDW59" s="19"/>
      <c r="CDX59" s="19"/>
      <c r="CDY59" s="19"/>
      <c r="CDZ59" s="19"/>
      <c r="CEA59" s="19"/>
      <c r="CEB59" s="19"/>
      <c r="CEC59" s="19"/>
      <c r="CED59" s="19"/>
      <c r="CEE59" s="19"/>
      <c r="CEF59" s="19"/>
      <c r="CEG59" s="19"/>
      <c r="CEH59" s="19"/>
      <c r="CEI59" s="19"/>
      <c r="CEJ59" s="19"/>
      <c r="CEK59" s="19"/>
      <c r="CEL59" s="19"/>
      <c r="CEM59" s="19"/>
      <c r="CEN59" s="19"/>
      <c r="CEO59" s="19"/>
      <c r="CEP59" s="19"/>
      <c r="CEQ59" s="19"/>
      <c r="CER59" s="19"/>
      <c r="CES59" s="19"/>
      <c r="CET59" s="19"/>
      <c r="CEU59" s="19"/>
      <c r="CEV59" s="19"/>
      <c r="CEW59" s="19"/>
      <c r="CEX59" s="19"/>
      <c r="CEY59" s="19"/>
      <c r="CEZ59" s="19"/>
      <c r="CFA59" s="19"/>
      <c r="CFB59" s="19"/>
      <c r="CFC59" s="19"/>
      <c r="CFD59" s="19"/>
      <c r="CFE59" s="19"/>
      <c r="CFF59" s="19"/>
      <c r="CFG59" s="19"/>
      <c r="CFH59" s="19"/>
      <c r="CFI59" s="19"/>
      <c r="CFJ59" s="19"/>
      <c r="CFK59" s="19"/>
      <c r="CFL59" s="19"/>
      <c r="CFM59" s="19"/>
      <c r="CFN59" s="19"/>
      <c r="CFO59" s="19"/>
      <c r="CFP59" s="19"/>
      <c r="CFQ59" s="19"/>
      <c r="CFR59" s="19"/>
      <c r="CFS59" s="19"/>
      <c r="CFT59" s="19"/>
      <c r="CFU59" s="19"/>
      <c r="CFV59" s="19"/>
      <c r="CFW59" s="19"/>
      <c r="CFX59" s="19"/>
      <c r="CFY59" s="19"/>
      <c r="CFZ59" s="19"/>
      <c r="CGA59" s="19"/>
      <c r="CGB59" s="19"/>
      <c r="CGC59" s="19"/>
      <c r="CGD59" s="19"/>
      <c r="CGE59" s="19"/>
      <c r="CGF59" s="19"/>
      <c r="CGG59" s="19"/>
      <c r="CGH59" s="19"/>
      <c r="CGI59" s="19"/>
      <c r="CGJ59" s="19"/>
      <c r="CGK59" s="19"/>
      <c r="CGL59" s="19"/>
      <c r="CGM59" s="19"/>
      <c r="CGN59" s="19"/>
      <c r="CGO59" s="19"/>
      <c r="CGP59" s="19"/>
      <c r="CGQ59" s="19"/>
      <c r="CGR59" s="19"/>
      <c r="CGS59" s="19"/>
      <c r="CGT59" s="19"/>
      <c r="CGU59" s="19"/>
      <c r="CGV59" s="19"/>
      <c r="CGW59" s="19"/>
      <c r="CGX59" s="19"/>
      <c r="CGY59" s="19"/>
      <c r="CGZ59" s="19"/>
      <c r="CHA59" s="19"/>
      <c r="CHB59" s="19"/>
      <c r="CHC59" s="19"/>
      <c r="CHD59" s="19"/>
      <c r="CHE59" s="19"/>
      <c r="CHF59" s="19"/>
      <c r="CHG59" s="19"/>
      <c r="CHH59" s="19"/>
      <c r="CHI59" s="19"/>
      <c r="CHJ59" s="19"/>
      <c r="CHK59" s="19"/>
      <c r="CHL59" s="19"/>
      <c r="CHM59" s="19"/>
      <c r="CHN59" s="19"/>
      <c r="CHO59" s="19"/>
      <c r="CHP59" s="19"/>
      <c r="CHQ59" s="19"/>
      <c r="CHR59" s="19"/>
      <c r="CHS59" s="19"/>
      <c r="CHT59" s="19"/>
      <c r="CHU59" s="19"/>
      <c r="CHV59" s="19"/>
      <c r="CHW59" s="19"/>
      <c r="CHX59" s="19"/>
      <c r="CHY59" s="19"/>
      <c r="CHZ59" s="19"/>
      <c r="CIA59" s="19"/>
      <c r="CIB59" s="19"/>
      <c r="CIC59" s="19"/>
      <c r="CID59" s="19"/>
      <c r="CIE59" s="19"/>
      <c r="CIF59" s="19"/>
      <c r="CIG59" s="19"/>
      <c r="CIH59" s="19"/>
      <c r="CII59" s="19"/>
      <c r="CIJ59" s="19"/>
      <c r="CIK59" s="19"/>
      <c r="CIL59" s="19"/>
      <c r="CIM59" s="19"/>
      <c r="CIN59" s="19"/>
      <c r="CIO59" s="19"/>
      <c r="CIP59" s="19"/>
      <c r="CIQ59" s="19"/>
      <c r="CIR59" s="19"/>
      <c r="CIS59" s="19"/>
      <c r="CIT59" s="19"/>
      <c r="CIU59" s="19"/>
      <c r="CIV59" s="19"/>
      <c r="CIW59" s="19"/>
      <c r="CIX59" s="19"/>
      <c r="CIY59" s="19"/>
      <c r="CIZ59" s="19"/>
      <c r="CJA59" s="19"/>
      <c r="CJB59" s="19"/>
      <c r="CJC59" s="19"/>
      <c r="CJD59" s="19"/>
      <c r="CJE59" s="19"/>
      <c r="CJF59" s="19"/>
      <c r="CJG59" s="19"/>
      <c r="CJH59" s="19"/>
      <c r="CJI59" s="19"/>
      <c r="CJJ59" s="19"/>
      <c r="CJK59" s="19"/>
      <c r="CJL59" s="19"/>
      <c r="CJM59" s="19"/>
      <c r="CJN59" s="19"/>
      <c r="CJO59" s="19"/>
      <c r="CJP59" s="19"/>
      <c r="CJQ59" s="19"/>
      <c r="CJR59" s="19"/>
      <c r="CJS59" s="19"/>
      <c r="CJT59" s="19"/>
      <c r="CJU59" s="19"/>
      <c r="CJV59" s="19"/>
      <c r="CJW59" s="19"/>
      <c r="CJX59" s="19"/>
      <c r="CJY59" s="19"/>
      <c r="CJZ59" s="19"/>
      <c r="CKA59" s="19"/>
      <c r="CKB59" s="19"/>
      <c r="CKC59" s="19"/>
      <c r="CKD59" s="19"/>
      <c r="CKE59" s="19"/>
      <c r="CKF59" s="19"/>
      <c r="CKG59" s="19"/>
      <c r="CKH59" s="19"/>
      <c r="CKI59" s="19"/>
      <c r="CKJ59" s="19"/>
      <c r="CKK59" s="19"/>
      <c r="CKL59" s="19"/>
      <c r="CKM59" s="19"/>
      <c r="CKN59" s="19"/>
      <c r="CKO59" s="19"/>
      <c r="CKP59" s="19"/>
      <c r="CKQ59" s="19"/>
      <c r="CKR59" s="19"/>
      <c r="CKS59" s="19"/>
      <c r="CKT59" s="19"/>
      <c r="CKU59" s="19"/>
      <c r="CKV59" s="19"/>
      <c r="CKW59" s="19"/>
      <c r="CKX59" s="19"/>
      <c r="CKY59" s="19"/>
      <c r="CKZ59" s="19"/>
      <c r="CLA59" s="19"/>
      <c r="CLB59" s="19"/>
      <c r="CLC59" s="19"/>
      <c r="CLD59" s="19"/>
      <c r="CLE59" s="19"/>
      <c r="CLF59" s="19"/>
      <c r="CLG59" s="19"/>
      <c r="CLH59" s="19"/>
      <c r="CLI59" s="19"/>
      <c r="CLJ59" s="19"/>
      <c r="CLK59" s="19"/>
      <c r="CLL59" s="19"/>
      <c r="CLM59" s="19"/>
      <c r="CLN59" s="19"/>
      <c r="CLO59" s="19"/>
      <c r="CLP59" s="19"/>
      <c r="CLQ59" s="19"/>
      <c r="CLR59" s="19"/>
      <c r="CLS59" s="19"/>
      <c r="CLT59" s="19"/>
      <c r="CLU59" s="19"/>
      <c r="CLV59" s="19"/>
      <c r="CLW59" s="19"/>
      <c r="CLX59" s="19"/>
      <c r="CLY59" s="19"/>
      <c r="CLZ59" s="19"/>
      <c r="CMA59" s="19"/>
      <c r="CMB59" s="19"/>
      <c r="CMC59" s="19"/>
      <c r="CMD59" s="19"/>
      <c r="CME59" s="19"/>
      <c r="CMF59" s="19"/>
      <c r="CMG59" s="19"/>
      <c r="CMH59" s="19"/>
      <c r="CMI59" s="19"/>
      <c r="CMJ59" s="19"/>
      <c r="CMK59" s="19"/>
      <c r="CML59" s="19"/>
      <c r="CMM59" s="19"/>
      <c r="CMN59" s="19"/>
      <c r="CMO59" s="19"/>
      <c r="CMP59" s="19"/>
      <c r="CMQ59" s="19"/>
      <c r="CMR59" s="19"/>
      <c r="CMS59" s="19"/>
      <c r="CMT59" s="19"/>
      <c r="CMU59" s="19"/>
      <c r="CMV59" s="19"/>
      <c r="CMW59" s="19"/>
      <c r="CMX59" s="19"/>
      <c r="CMY59" s="19"/>
      <c r="CMZ59" s="19"/>
      <c r="CNA59" s="19"/>
      <c r="CNB59" s="19"/>
      <c r="CNC59" s="19"/>
      <c r="CND59" s="19"/>
      <c r="CNE59" s="19"/>
      <c r="CNF59" s="19"/>
      <c r="CNG59" s="19"/>
      <c r="CNH59" s="19"/>
      <c r="CNI59" s="19"/>
      <c r="CNJ59" s="19"/>
      <c r="CNK59" s="19"/>
      <c r="CNL59" s="19"/>
      <c r="CNM59" s="19"/>
      <c r="CNN59" s="19"/>
      <c r="CNO59" s="19"/>
      <c r="CNP59" s="19"/>
      <c r="CNQ59" s="19"/>
      <c r="CNR59" s="19"/>
      <c r="CNS59" s="19"/>
      <c r="CNT59" s="19"/>
      <c r="CNU59" s="19"/>
      <c r="CNV59" s="19"/>
      <c r="CNW59" s="19"/>
      <c r="CNX59" s="19"/>
      <c r="CNY59" s="19"/>
      <c r="CNZ59" s="19"/>
      <c r="COA59" s="19"/>
      <c r="COB59" s="19"/>
      <c r="COC59" s="19"/>
      <c r="COD59" s="19"/>
      <c r="COE59" s="19"/>
      <c r="COF59" s="19"/>
      <c r="COG59" s="19"/>
      <c r="COH59" s="19"/>
      <c r="COI59" s="19"/>
      <c r="COJ59" s="19"/>
      <c r="COK59" s="19"/>
      <c r="COL59" s="19"/>
      <c r="COM59" s="19"/>
      <c r="CON59" s="19"/>
      <c r="COO59" s="19"/>
      <c r="COP59" s="19"/>
      <c r="COQ59" s="19"/>
      <c r="COR59" s="19"/>
      <c r="COS59" s="19"/>
      <c r="COT59" s="19"/>
      <c r="COU59" s="19"/>
      <c r="COV59" s="19"/>
      <c r="COW59" s="19"/>
      <c r="COX59" s="19"/>
      <c r="COY59" s="19"/>
      <c r="COZ59" s="19"/>
      <c r="CPA59" s="19"/>
      <c r="CPB59" s="19"/>
      <c r="CPC59" s="19"/>
      <c r="CPD59" s="19"/>
      <c r="CPE59" s="19"/>
      <c r="CPF59" s="19"/>
      <c r="CPG59" s="19"/>
      <c r="CPH59" s="19"/>
      <c r="CPI59" s="19"/>
      <c r="CPJ59" s="19"/>
      <c r="CPK59" s="19"/>
      <c r="CPL59" s="19"/>
      <c r="CPM59" s="19"/>
      <c r="CPN59" s="19"/>
      <c r="CPO59" s="19"/>
      <c r="CPP59" s="19"/>
      <c r="CPQ59" s="19"/>
      <c r="CPR59" s="19"/>
      <c r="CPS59" s="19"/>
      <c r="CPT59" s="19"/>
      <c r="CPU59" s="19"/>
      <c r="CPV59" s="19"/>
      <c r="CPW59" s="19"/>
      <c r="CPX59" s="19"/>
      <c r="CPY59" s="19"/>
      <c r="CPZ59" s="19"/>
      <c r="CQA59" s="19"/>
      <c r="CQB59" s="19"/>
      <c r="CQC59" s="19"/>
      <c r="CQD59" s="19"/>
      <c r="CQE59" s="19"/>
      <c r="CQF59" s="19"/>
      <c r="CQG59" s="19"/>
      <c r="CQH59" s="19"/>
      <c r="CQI59" s="19"/>
      <c r="CQJ59" s="19"/>
      <c r="CQK59" s="19"/>
      <c r="CQL59" s="19"/>
      <c r="CQM59" s="19"/>
      <c r="CQN59" s="19"/>
      <c r="CQO59" s="19"/>
      <c r="CQP59" s="19"/>
      <c r="CQQ59" s="19"/>
      <c r="CQR59" s="19"/>
      <c r="CQS59" s="19"/>
      <c r="CQT59" s="19"/>
      <c r="CQU59" s="19"/>
      <c r="CQV59" s="19"/>
      <c r="CQW59" s="19"/>
      <c r="CQX59" s="19"/>
      <c r="CQY59" s="19"/>
      <c r="CQZ59" s="19"/>
      <c r="CRA59" s="19"/>
      <c r="CRB59" s="19"/>
      <c r="CRC59" s="19"/>
      <c r="CRD59" s="19"/>
      <c r="CRE59" s="19"/>
      <c r="CRF59" s="19"/>
      <c r="CRG59" s="19"/>
      <c r="CRH59" s="19"/>
      <c r="CRI59" s="19"/>
      <c r="CRJ59" s="19"/>
      <c r="CRK59" s="19"/>
      <c r="CRL59" s="19"/>
      <c r="CRM59" s="19"/>
      <c r="CRN59" s="19"/>
      <c r="CRO59" s="19"/>
      <c r="CRP59" s="19"/>
      <c r="CRQ59" s="19"/>
      <c r="CRR59" s="19"/>
      <c r="CRS59" s="19"/>
      <c r="CRT59" s="19"/>
      <c r="CRU59" s="19"/>
      <c r="CRV59" s="19"/>
      <c r="CRW59" s="19"/>
      <c r="CRX59" s="19"/>
      <c r="CRY59" s="19"/>
      <c r="CRZ59" s="19"/>
      <c r="CSA59" s="19"/>
      <c r="CSB59" s="19"/>
      <c r="CSC59" s="19"/>
      <c r="CSD59" s="19"/>
      <c r="CSE59" s="19"/>
      <c r="CSF59" s="19"/>
      <c r="CSG59" s="19"/>
      <c r="CSH59" s="19"/>
      <c r="CSI59" s="19"/>
      <c r="CSJ59" s="19"/>
      <c r="CSK59" s="19"/>
      <c r="CSL59" s="19"/>
      <c r="CSM59" s="19"/>
      <c r="CSN59" s="19"/>
      <c r="CSO59" s="19"/>
      <c r="CSP59" s="19"/>
      <c r="CSQ59" s="19"/>
      <c r="CSR59" s="19"/>
      <c r="CSS59" s="19"/>
      <c r="CST59" s="19"/>
      <c r="CSU59" s="19"/>
      <c r="CSV59" s="19"/>
      <c r="CSW59" s="19"/>
      <c r="CSX59" s="19"/>
      <c r="CSY59" s="19"/>
      <c r="CSZ59" s="19"/>
      <c r="CTA59" s="19"/>
      <c r="CTB59" s="19"/>
      <c r="CTC59" s="19"/>
      <c r="CTD59" s="19"/>
      <c r="CTE59" s="19"/>
      <c r="CTF59" s="19"/>
      <c r="CTG59" s="19"/>
      <c r="CTH59" s="19"/>
      <c r="CTI59" s="19"/>
      <c r="CTJ59" s="19"/>
      <c r="CTK59" s="19"/>
      <c r="CTL59" s="19"/>
      <c r="CTM59" s="19"/>
      <c r="CTN59" s="19"/>
      <c r="CTO59" s="19"/>
      <c r="CTP59" s="19"/>
      <c r="CTQ59" s="19"/>
      <c r="CTR59" s="19"/>
      <c r="CTS59" s="19"/>
      <c r="CTT59" s="19"/>
      <c r="CTU59" s="19"/>
      <c r="CTV59" s="19"/>
      <c r="CTW59" s="19"/>
      <c r="CTX59" s="19"/>
      <c r="CTY59" s="19"/>
      <c r="CTZ59" s="19"/>
      <c r="CUA59" s="19"/>
    </row>
    <row r="60" s="21" customFormat="1" ht="50" customHeight="1" spans="1:2575">
      <c r="A60" s="50"/>
      <c r="B60" s="102"/>
      <c r="C60" s="103"/>
      <c r="D60" s="50"/>
      <c r="E60" s="143"/>
      <c r="F60" s="132"/>
      <c r="G60" s="132"/>
      <c r="H60" s="112" t="s">
        <v>124</v>
      </c>
      <c r="I60" s="20">
        <f>14.7422</f>
        <v>14.7422</v>
      </c>
      <c r="J60" s="150">
        <f>25.8934</f>
        <v>25.8934</v>
      </c>
      <c r="K60" s="150">
        <f>0.1007</f>
        <v>0.1007</v>
      </c>
      <c r="L60" s="148">
        <f t="shared" si="54"/>
        <v>3.3601083168</v>
      </c>
      <c r="M60" s="148">
        <f t="shared" si="55"/>
        <v>2.0370103536</v>
      </c>
      <c r="N60" s="148">
        <f t="shared" si="56"/>
        <v>6.228011520504</v>
      </c>
      <c r="O60" s="148">
        <f t="shared" si="57"/>
        <v>2.94844</v>
      </c>
      <c r="P60" s="148">
        <f t="shared" si="58"/>
        <v>2.6609461824</v>
      </c>
      <c r="Q60" s="148">
        <f t="shared" si="59"/>
        <v>5.84345829042904</v>
      </c>
      <c r="R60" s="148">
        <f t="shared" si="60"/>
        <v>63.814274663733</v>
      </c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  <c r="AMM60" s="19"/>
      <c r="AMN60" s="19"/>
      <c r="AMO60" s="19"/>
      <c r="AMP60" s="19"/>
      <c r="AMQ60" s="19"/>
      <c r="AMR60" s="19"/>
      <c r="AMS60" s="19"/>
      <c r="AMT60" s="19"/>
      <c r="AMU60" s="19"/>
      <c r="AMV60" s="19"/>
      <c r="AMW60" s="19"/>
      <c r="AMX60" s="19"/>
      <c r="AMY60" s="19"/>
      <c r="AMZ60" s="19"/>
      <c r="ANA60" s="19"/>
      <c r="ANB60" s="19"/>
      <c r="ANC60" s="19"/>
      <c r="AND60" s="19"/>
      <c r="ANE60" s="19"/>
      <c r="ANF60" s="19"/>
      <c r="ANG60" s="19"/>
      <c r="ANH60" s="19"/>
      <c r="ANI60" s="19"/>
      <c r="ANJ60" s="19"/>
      <c r="ANK60" s="19"/>
      <c r="ANL60" s="19"/>
      <c r="ANM60" s="19"/>
      <c r="ANN60" s="19"/>
      <c r="ANO60" s="19"/>
      <c r="ANP60" s="19"/>
      <c r="ANQ60" s="19"/>
      <c r="ANR60" s="19"/>
      <c r="ANS60" s="19"/>
      <c r="ANT60" s="19"/>
      <c r="ANU60" s="19"/>
      <c r="ANV60" s="19"/>
      <c r="ANW60" s="19"/>
      <c r="ANX60" s="19"/>
      <c r="ANY60" s="19"/>
      <c r="ANZ60" s="19"/>
      <c r="AOA60" s="19"/>
      <c r="AOB60" s="19"/>
      <c r="AOC60" s="19"/>
      <c r="AOD60" s="19"/>
      <c r="AOE60" s="19"/>
      <c r="AOF60" s="19"/>
      <c r="AOG60" s="19"/>
      <c r="AOH60" s="19"/>
      <c r="AOI60" s="19"/>
      <c r="AOJ60" s="19"/>
      <c r="AOK60" s="19"/>
      <c r="AOL60" s="19"/>
      <c r="AOM60" s="19"/>
      <c r="AON60" s="19"/>
      <c r="AOO60" s="19"/>
      <c r="AOP60" s="19"/>
      <c r="AOQ60" s="19"/>
      <c r="AOR60" s="19"/>
      <c r="AOS60" s="19"/>
      <c r="AOT60" s="19"/>
      <c r="AOU60" s="19"/>
      <c r="AOV60" s="19"/>
      <c r="AOW60" s="19"/>
      <c r="AOX60" s="19"/>
      <c r="AOY60" s="19"/>
      <c r="AOZ60" s="19"/>
      <c r="APA60" s="19"/>
      <c r="APB60" s="19"/>
      <c r="APC60" s="19"/>
      <c r="APD60" s="19"/>
      <c r="APE60" s="19"/>
      <c r="APF60" s="19"/>
      <c r="APG60" s="19"/>
      <c r="APH60" s="19"/>
      <c r="API60" s="19"/>
      <c r="APJ60" s="19"/>
      <c r="APK60" s="19"/>
      <c r="APL60" s="19"/>
      <c r="APM60" s="19"/>
      <c r="APN60" s="19"/>
      <c r="APO60" s="19"/>
      <c r="APP60" s="19"/>
      <c r="APQ60" s="19"/>
      <c r="APR60" s="19"/>
      <c r="APS60" s="19"/>
      <c r="APT60" s="19"/>
      <c r="APU60" s="19"/>
      <c r="APV60" s="19"/>
      <c r="APW60" s="19"/>
      <c r="APX60" s="19"/>
      <c r="APY60" s="19"/>
      <c r="APZ60" s="19"/>
      <c r="AQA60" s="19"/>
      <c r="AQB60" s="19"/>
      <c r="AQC60" s="19"/>
      <c r="AQD60" s="19"/>
      <c r="AQE60" s="19"/>
      <c r="AQF60" s="19"/>
      <c r="AQG60" s="19"/>
      <c r="AQH60" s="19"/>
      <c r="AQI60" s="19"/>
      <c r="AQJ60" s="19"/>
      <c r="AQK60" s="19"/>
      <c r="AQL60" s="19"/>
      <c r="AQM60" s="19"/>
      <c r="AQN60" s="19"/>
      <c r="AQO60" s="19"/>
      <c r="AQP60" s="19"/>
      <c r="AQQ60" s="19"/>
      <c r="AQR60" s="19"/>
      <c r="AQS60" s="19"/>
      <c r="AQT60" s="19"/>
      <c r="AQU60" s="19"/>
      <c r="AQV60" s="19"/>
      <c r="AQW60" s="19"/>
      <c r="AQX60" s="19"/>
      <c r="AQY60" s="19"/>
      <c r="AQZ60" s="19"/>
      <c r="ARA60" s="19"/>
      <c r="ARB60" s="19"/>
      <c r="ARC60" s="19"/>
      <c r="ARD60" s="19"/>
      <c r="ARE60" s="19"/>
      <c r="ARF60" s="19"/>
      <c r="ARG60" s="19"/>
      <c r="ARH60" s="19"/>
      <c r="ARI60" s="19"/>
      <c r="ARJ60" s="19"/>
      <c r="ARK60" s="19"/>
      <c r="ARL60" s="19"/>
      <c r="ARM60" s="19"/>
      <c r="ARN60" s="19"/>
      <c r="ARO60" s="19"/>
      <c r="ARP60" s="19"/>
      <c r="ARQ60" s="19"/>
      <c r="ARR60" s="19"/>
      <c r="ARS60" s="19"/>
      <c r="ART60" s="19"/>
      <c r="ARU60" s="19"/>
      <c r="ARV60" s="19"/>
      <c r="ARW60" s="19"/>
      <c r="ARX60" s="19"/>
      <c r="ARY60" s="19"/>
      <c r="ARZ60" s="19"/>
      <c r="ASA60" s="19"/>
      <c r="ASB60" s="19"/>
      <c r="ASC60" s="19"/>
      <c r="ASD60" s="19"/>
      <c r="ASE60" s="19"/>
      <c r="ASF60" s="19"/>
      <c r="ASG60" s="19"/>
      <c r="ASH60" s="19"/>
      <c r="ASI60" s="19"/>
      <c r="ASJ60" s="19"/>
      <c r="ASK60" s="19"/>
      <c r="ASL60" s="19"/>
      <c r="ASM60" s="19"/>
      <c r="ASN60" s="19"/>
      <c r="ASO60" s="19"/>
      <c r="ASP60" s="19"/>
      <c r="ASQ60" s="19"/>
      <c r="ASR60" s="19"/>
      <c r="ASS60" s="19"/>
      <c r="AST60" s="19"/>
      <c r="ASU60" s="19"/>
      <c r="ASV60" s="19"/>
      <c r="ASW60" s="19"/>
      <c r="ASX60" s="19"/>
      <c r="ASY60" s="19"/>
      <c r="ASZ60" s="19"/>
      <c r="ATA60" s="19"/>
      <c r="ATB60" s="19"/>
      <c r="ATC60" s="19"/>
      <c r="ATD60" s="19"/>
      <c r="ATE60" s="19"/>
      <c r="ATF60" s="19"/>
      <c r="ATG60" s="19"/>
      <c r="ATH60" s="19"/>
      <c r="ATI60" s="19"/>
      <c r="ATJ60" s="19"/>
      <c r="ATK60" s="19"/>
      <c r="ATL60" s="19"/>
      <c r="ATM60" s="19"/>
      <c r="ATN60" s="19"/>
      <c r="ATO60" s="19"/>
      <c r="ATP60" s="19"/>
      <c r="ATQ60" s="19"/>
      <c r="ATR60" s="19"/>
      <c r="ATS60" s="19"/>
      <c r="ATT60" s="19"/>
      <c r="ATU60" s="19"/>
      <c r="ATV60" s="19"/>
      <c r="ATW60" s="19"/>
      <c r="ATX60" s="19"/>
      <c r="ATY60" s="19"/>
      <c r="ATZ60" s="19"/>
      <c r="AUA60" s="19"/>
      <c r="AUB60" s="19"/>
      <c r="AUC60" s="19"/>
      <c r="AUD60" s="19"/>
      <c r="AUE60" s="19"/>
      <c r="AUF60" s="19"/>
      <c r="AUG60" s="19"/>
      <c r="AUH60" s="19"/>
      <c r="AUI60" s="19"/>
      <c r="AUJ60" s="19"/>
      <c r="AUK60" s="19"/>
      <c r="AUL60" s="19"/>
      <c r="AUM60" s="19"/>
      <c r="AUN60" s="19"/>
      <c r="AUO60" s="19"/>
      <c r="AUP60" s="19"/>
      <c r="AUQ60" s="19"/>
      <c r="AUR60" s="19"/>
      <c r="AUS60" s="19"/>
      <c r="AUT60" s="19"/>
      <c r="AUU60" s="19"/>
      <c r="AUV60" s="19"/>
      <c r="AUW60" s="19"/>
      <c r="AUX60" s="19"/>
      <c r="AUY60" s="19"/>
      <c r="AUZ60" s="19"/>
      <c r="AVA60" s="19"/>
      <c r="AVB60" s="19"/>
      <c r="AVC60" s="19"/>
      <c r="AVD60" s="19"/>
      <c r="AVE60" s="19"/>
      <c r="AVF60" s="19"/>
      <c r="AVG60" s="19"/>
      <c r="AVH60" s="19"/>
      <c r="AVI60" s="19"/>
      <c r="AVJ60" s="19"/>
      <c r="AVK60" s="19"/>
      <c r="AVL60" s="19"/>
      <c r="AVM60" s="19"/>
      <c r="AVN60" s="19"/>
      <c r="AVO60" s="19"/>
      <c r="AVP60" s="19"/>
      <c r="AVQ60" s="19"/>
      <c r="AVR60" s="19"/>
      <c r="AVS60" s="19"/>
      <c r="AVT60" s="19"/>
      <c r="AVU60" s="19"/>
      <c r="AVV60" s="19"/>
      <c r="AVW60" s="19"/>
      <c r="AVX60" s="19"/>
      <c r="AVY60" s="19"/>
      <c r="AVZ60" s="19"/>
      <c r="AWA60" s="19"/>
      <c r="AWB60" s="19"/>
      <c r="AWC60" s="19"/>
      <c r="AWD60" s="19"/>
      <c r="AWE60" s="19"/>
      <c r="AWF60" s="19"/>
      <c r="AWG60" s="19"/>
      <c r="AWH60" s="19"/>
      <c r="AWI60" s="19"/>
      <c r="AWJ60" s="19"/>
      <c r="AWK60" s="19"/>
      <c r="AWL60" s="19"/>
      <c r="AWM60" s="19"/>
      <c r="AWN60" s="19"/>
      <c r="AWO60" s="19"/>
      <c r="AWP60" s="19"/>
      <c r="AWQ60" s="19"/>
      <c r="AWR60" s="19"/>
      <c r="AWS60" s="19"/>
      <c r="AWT60" s="19"/>
      <c r="AWU60" s="19"/>
      <c r="AWV60" s="19"/>
      <c r="AWW60" s="19"/>
      <c r="AWX60" s="19"/>
      <c r="AWY60" s="19"/>
      <c r="AWZ60" s="19"/>
      <c r="AXA60" s="19"/>
      <c r="AXB60" s="19"/>
      <c r="AXC60" s="19"/>
      <c r="AXD60" s="19"/>
      <c r="AXE60" s="19"/>
      <c r="AXF60" s="19"/>
      <c r="AXG60" s="19"/>
      <c r="AXH60" s="19"/>
      <c r="AXI60" s="19"/>
      <c r="AXJ60" s="19"/>
      <c r="AXK60" s="19"/>
      <c r="AXL60" s="19"/>
      <c r="AXM60" s="19"/>
      <c r="AXN60" s="19"/>
      <c r="AXO60" s="19"/>
      <c r="AXP60" s="19"/>
      <c r="AXQ60" s="19"/>
      <c r="AXR60" s="19"/>
      <c r="AXS60" s="19"/>
      <c r="AXT60" s="19"/>
      <c r="AXU60" s="19"/>
      <c r="AXV60" s="19"/>
      <c r="AXW60" s="19"/>
      <c r="AXX60" s="19"/>
      <c r="AXY60" s="19"/>
      <c r="AXZ60" s="19"/>
      <c r="AYA60" s="19"/>
      <c r="AYB60" s="19"/>
      <c r="AYC60" s="19"/>
      <c r="AYD60" s="19"/>
      <c r="AYE60" s="19"/>
      <c r="AYF60" s="19"/>
      <c r="AYG60" s="19"/>
      <c r="AYH60" s="19"/>
      <c r="AYI60" s="19"/>
      <c r="AYJ60" s="19"/>
      <c r="AYK60" s="19"/>
      <c r="AYL60" s="19"/>
      <c r="AYM60" s="19"/>
      <c r="AYN60" s="19"/>
      <c r="AYO60" s="19"/>
      <c r="AYP60" s="19"/>
      <c r="AYQ60" s="19"/>
      <c r="AYR60" s="19"/>
      <c r="AYS60" s="19"/>
      <c r="AYT60" s="19"/>
      <c r="AYU60" s="19"/>
      <c r="AYV60" s="19"/>
      <c r="AYW60" s="19"/>
      <c r="AYX60" s="19"/>
      <c r="AYY60" s="19"/>
      <c r="AYZ60" s="19"/>
      <c r="AZA60" s="19"/>
      <c r="AZB60" s="19"/>
      <c r="AZC60" s="19"/>
      <c r="AZD60" s="19"/>
      <c r="AZE60" s="19"/>
      <c r="AZF60" s="19"/>
      <c r="AZG60" s="19"/>
      <c r="AZH60" s="19"/>
      <c r="AZI60" s="19"/>
      <c r="AZJ60" s="19"/>
      <c r="AZK60" s="19"/>
      <c r="AZL60" s="19"/>
      <c r="AZM60" s="19"/>
      <c r="AZN60" s="19"/>
      <c r="AZO60" s="19"/>
      <c r="AZP60" s="19"/>
      <c r="AZQ60" s="19"/>
      <c r="AZR60" s="19"/>
      <c r="AZS60" s="19"/>
      <c r="AZT60" s="19"/>
      <c r="AZU60" s="19"/>
      <c r="AZV60" s="19"/>
      <c r="AZW60" s="19"/>
      <c r="AZX60" s="19"/>
      <c r="AZY60" s="19"/>
      <c r="AZZ60" s="19"/>
      <c r="BAA60" s="19"/>
      <c r="BAB60" s="19"/>
      <c r="BAC60" s="19"/>
      <c r="BAD60" s="19"/>
      <c r="BAE60" s="19"/>
      <c r="BAF60" s="19"/>
      <c r="BAG60" s="19"/>
      <c r="BAH60" s="19"/>
      <c r="BAI60" s="19"/>
      <c r="BAJ60" s="19"/>
      <c r="BAK60" s="19"/>
      <c r="BAL60" s="19"/>
      <c r="BAM60" s="19"/>
      <c r="BAN60" s="19"/>
      <c r="BAO60" s="19"/>
      <c r="BAP60" s="19"/>
      <c r="BAQ60" s="19"/>
      <c r="BAR60" s="19"/>
      <c r="BAS60" s="19"/>
      <c r="BAT60" s="19"/>
      <c r="BAU60" s="19"/>
      <c r="BAV60" s="19"/>
      <c r="BAW60" s="19"/>
      <c r="BAX60" s="19"/>
      <c r="BAY60" s="19"/>
      <c r="BAZ60" s="19"/>
      <c r="BBA60" s="19"/>
      <c r="BBB60" s="19"/>
      <c r="BBC60" s="19"/>
      <c r="BBD60" s="19"/>
      <c r="BBE60" s="19"/>
      <c r="BBF60" s="19"/>
      <c r="BBG60" s="19"/>
      <c r="BBH60" s="19"/>
      <c r="BBI60" s="19"/>
      <c r="BBJ60" s="19"/>
      <c r="BBK60" s="19"/>
      <c r="BBL60" s="19"/>
      <c r="BBM60" s="19"/>
      <c r="BBN60" s="19"/>
      <c r="BBO60" s="19"/>
      <c r="BBP60" s="19"/>
      <c r="BBQ60" s="19"/>
      <c r="BBR60" s="19"/>
      <c r="BBS60" s="19"/>
      <c r="BBT60" s="19"/>
      <c r="BBU60" s="19"/>
      <c r="BBV60" s="19"/>
      <c r="BBW60" s="19"/>
      <c r="BBX60" s="19"/>
      <c r="BBY60" s="19"/>
      <c r="BBZ60" s="19"/>
      <c r="BCA60" s="19"/>
      <c r="BCB60" s="19"/>
      <c r="BCC60" s="19"/>
      <c r="BCD60" s="19"/>
      <c r="BCE60" s="19"/>
      <c r="BCF60" s="19"/>
      <c r="BCG60" s="19"/>
      <c r="BCH60" s="19"/>
      <c r="BCI60" s="19"/>
      <c r="BCJ60" s="19"/>
      <c r="BCK60" s="19"/>
      <c r="BCL60" s="19"/>
      <c r="BCM60" s="19"/>
      <c r="BCN60" s="19"/>
      <c r="BCO60" s="19"/>
      <c r="BCP60" s="19"/>
      <c r="BCQ60" s="19"/>
      <c r="BCR60" s="19"/>
      <c r="BCS60" s="19"/>
      <c r="BCT60" s="19"/>
      <c r="BCU60" s="19"/>
      <c r="BCV60" s="19"/>
      <c r="BCW60" s="19"/>
      <c r="BCX60" s="19"/>
      <c r="BCY60" s="19"/>
      <c r="BCZ60" s="19"/>
      <c r="BDA60" s="19"/>
      <c r="BDB60" s="19"/>
      <c r="BDC60" s="19"/>
      <c r="BDD60" s="19"/>
      <c r="BDE60" s="19"/>
      <c r="BDF60" s="19"/>
      <c r="BDG60" s="19"/>
      <c r="BDH60" s="19"/>
      <c r="BDI60" s="19"/>
      <c r="BDJ60" s="19"/>
      <c r="BDK60" s="19"/>
      <c r="BDL60" s="19"/>
      <c r="BDM60" s="19"/>
      <c r="BDN60" s="19"/>
      <c r="BDO60" s="19"/>
      <c r="BDP60" s="19"/>
      <c r="BDQ60" s="19"/>
      <c r="BDR60" s="19"/>
      <c r="BDS60" s="19"/>
      <c r="BDT60" s="19"/>
      <c r="BDU60" s="19"/>
      <c r="BDV60" s="19"/>
      <c r="BDW60" s="19"/>
      <c r="BDX60" s="19"/>
      <c r="BDY60" s="19"/>
      <c r="BDZ60" s="19"/>
      <c r="BEA60" s="19"/>
      <c r="BEB60" s="19"/>
      <c r="BEC60" s="19"/>
      <c r="BED60" s="19"/>
      <c r="BEE60" s="19"/>
      <c r="BEF60" s="19"/>
      <c r="BEG60" s="19"/>
      <c r="BEH60" s="19"/>
      <c r="BEI60" s="19"/>
      <c r="BEJ60" s="19"/>
      <c r="BEK60" s="19"/>
      <c r="BEL60" s="19"/>
      <c r="BEM60" s="19"/>
      <c r="BEN60" s="19"/>
      <c r="BEO60" s="19"/>
      <c r="BEP60" s="19"/>
      <c r="BEQ60" s="19"/>
      <c r="BER60" s="19"/>
      <c r="BES60" s="19"/>
      <c r="BET60" s="19"/>
      <c r="BEU60" s="19"/>
      <c r="BEV60" s="19"/>
      <c r="BEW60" s="19"/>
      <c r="BEX60" s="19"/>
      <c r="BEY60" s="19"/>
      <c r="BEZ60" s="19"/>
      <c r="BFA60" s="19"/>
      <c r="BFB60" s="19"/>
      <c r="BFC60" s="19"/>
      <c r="BFD60" s="19"/>
      <c r="BFE60" s="19"/>
      <c r="BFF60" s="19"/>
      <c r="BFG60" s="19"/>
      <c r="BFH60" s="19"/>
      <c r="BFI60" s="19"/>
      <c r="BFJ60" s="19"/>
      <c r="BFK60" s="19"/>
      <c r="BFL60" s="19"/>
      <c r="BFM60" s="19"/>
      <c r="BFN60" s="19"/>
      <c r="BFO60" s="19"/>
      <c r="BFP60" s="19"/>
      <c r="BFQ60" s="19"/>
      <c r="BFR60" s="19"/>
      <c r="BFS60" s="19"/>
      <c r="BFT60" s="19"/>
      <c r="BFU60" s="19"/>
      <c r="BFV60" s="19"/>
      <c r="BFW60" s="19"/>
      <c r="BFX60" s="19"/>
      <c r="BFY60" s="19"/>
      <c r="BFZ60" s="19"/>
      <c r="BGA60" s="19"/>
      <c r="BGB60" s="19"/>
      <c r="BGC60" s="19"/>
      <c r="BGD60" s="19"/>
      <c r="BGE60" s="19"/>
      <c r="BGF60" s="19"/>
      <c r="BGG60" s="19"/>
      <c r="BGH60" s="19"/>
      <c r="BGI60" s="19"/>
      <c r="BGJ60" s="19"/>
      <c r="BGK60" s="19"/>
      <c r="BGL60" s="19"/>
      <c r="BGM60" s="19"/>
      <c r="BGN60" s="19"/>
      <c r="BGO60" s="19"/>
      <c r="BGP60" s="19"/>
      <c r="BGQ60" s="19"/>
      <c r="BGR60" s="19"/>
      <c r="BGS60" s="19"/>
      <c r="BGT60" s="19"/>
      <c r="BGU60" s="19"/>
      <c r="BGV60" s="19"/>
      <c r="BGW60" s="19"/>
      <c r="BGX60" s="19"/>
      <c r="BGY60" s="19"/>
      <c r="BGZ60" s="19"/>
      <c r="BHA60" s="19"/>
      <c r="BHB60" s="19"/>
      <c r="BHC60" s="19"/>
      <c r="BHD60" s="19"/>
      <c r="BHE60" s="19"/>
      <c r="BHF60" s="19"/>
      <c r="BHG60" s="19"/>
      <c r="BHH60" s="19"/>
      <c r="BHI60" s="19"/>
      <c r="BHJ60" s="19"/>
      <c r="BHK60" s="19"/>
      <c r="BHL60" s="19"/>
      <c r="BHM60" s="19"/>
      <c r="BHN60" s="19"/>
      <c r="BHO60" s="19"/>
      <c r="BHP60" s="19"/>
      <c r="BHQ60" s="19"/>
      <c r="BHR60" s="19"/>
      <c r="BHS60" s="19"/>
      <c r="BHT60" s="19"/>
      <c r="BHU60" s="19"/>
      <c r="BHV60" s="19"/>
      <c r="BHW60" s="19"/>
      <c r="BHX60" s="19"/>
      <c r="BHY60" s="19"/>
      <c r="BHZ60" s="19"/>
      <c r="BIA60" s="19"/>
      <c r="BIB60" s="19"/>
      <c r="BIC60" s="19"/>
      <c r="BID60" s="19"/>
      <c r="BIE60" s="19"/>
      <c r="BIF60" s="19"/>
      <c r="BIG60" s="19"/>
      <c r="BIH60" s="19"/>
      <c r="BII60" s="19"/>
      <c r="BIJ60" s="19"/>
      <c r="BIK60" s="19"/>
      <c r="BIL60" s="19"/>
      <c r="BIM60" s="19"/>
      <c r="BIN60" s="19"/>
      <c r="BIO60" s="19"/>
      <c r="BIP60" s="19"/>
      <c r="BIQ60" s="19"/>
      <c r="BIR60" s="19"/>
      <c r="BIS60" s="19"/>
      <c r="BIT60" s="19"/>
      <c r="BIU60" s="19"/>
      <c r="BIV60" s="19"/>
      <c r="BIW60" s="19"/>
      <c r="BIX60" s="19"/>
      <c r="BIY60" s="19"/>
      <c r="BIZ60" s="19"/>
      <c r="BJA60" s="19"/>
      <c r="BJB60" s="19"/>
      <c r="BJC60" s="19"/>
      <c r="BJD60" s="19"/>
      <c r="BJE60" s="19"/>
      <c r="BJF60" s="19"/>
      <c r="BJG60" s="19"/>
      <c r="BJH60" s="19"/>
      <c r="BJI60" s="19"/>
      <c r="BJJ60" s="19"/>
      <c r="BJK60" s="19"/>
      <c r="BJL60" s="19"/>
      <c r="BJM60" s="19"/>
      <c r="BJN60" s="19"/>
      <c r="BJO60" s="19"/>
      <c r="BJP60" s="19"/>
      <c r="BJQ60" s="19"/>
      <c r="BJR60" s="19"/>
      <c r="BJS60" s="19"/>
      <c r="BJT60" s="19"/>
      <c r="BJU60" s="19"/>
      <c r="BJV60" s="19"/>
      <c r="BJW60" s="19"/>
      <c r="BJX60" s="19"/>
      <c r="BJY60" s="19"/>
      <c r="BJZ60" s="19"/>
      <c r="BKA60" s="19"/>
      <c r="BKB60" s="19"/>
      <c r="BKC60" s="19"/>
      <c r="BKD60" s="19"/>
      <c r="BKE60" s="19"/>
      <c r="BKF60" s="19"/>
      <c r="BKG60" s="19"/>
      <c r="BKH60" s="19"/>
      <c r="BKI60" s="19"/>
      <c r="BKJ60" s="19"/>
      <c r="BKK60" s="19"/>
      <c r="BKL60" s="19"/>
      <c r="BKM60" s="19"/>
      <c r="BKN60" s="19"/>
      <c r="BKO60" s="19"/>
      <c r="BKP60" s="19"/>
      <c r="BKQ60" s="19"/>
      <c r="BKR60" s="19"/>
      <c r="BKS60" s="19"/>
      <c r="BKT60" s="19"/>
      <c r="BKU60" s="19"/>
      <c r="BKV60" s="19"/>
      <c r="BKW60" s="19"/>
      <c r="BKX60" s="19"/>
      <c r="BKY60" s="19"/>
      <c r="BKZ60" s="19"/>
      <c r="BLA60" s="19"/>
      <c r="BLB60" s="19"/>
      <c r="BLC60" s="19"/>
      <c r="BLD60" s="19"/>
      <c r="BLE60" s="19"/>
      <c r="BLF60" s="19"/>
      <c r="BLG60" s="19"/>
      <c r="BLH60" s="19"/>
      <c r="BLI60" s="19"/>
      <c r="BLJ60" s="19"/>
      <c r="BLK60" s="19"/>
      <c r="BLL60" s="19"/>
      <c r="BLM60" s="19"/>
      <c r="BLN60" s="19"/>
      <c r="BLO60" s="19"/>
      <c r="BLP60" s="19"/>
      <c r="BLQ60" s="19"/>
      <c r="BLR60" s="19"/>
      <c r="BLS60" s="19"/>
      <c r="BLT60" s="19"/>
      <c r="BLU60" s="19"/>
      <c r="BLV60" s="19"/>
      <c r="BLW60" s="19"/>
      <c r="BLX60" s="19"/>
      <c r="BLY60" s="19"/>
      <c r="BLZ60" s="19"/>
      <c r="BMA60" s="19"/>
      <c r="BMB60" s="19"/>
      <c r="BMC60" s="19"/>
      <c r="BMD60" s="19"/>
      <c r="BME60" s="19"/>
      <c r="BMF60" s="19"/>
      <c r="BMG60" s="19"/>
      <c r="BMH60" s="19"/>
      <c r="BMI60" s="19"/>
      <c r="BMJ60" s="19"/>
      <c r="BMK60" s="19"/>
      <c r="BML60" s="19"/>
      <c r="BMM60" s="19"/>
      <c r="BMN60" s="19"/>
      <c r="BMO60" s="19"/>
      <c r="BMP60" s="19"/>
      <c r="BMQ60" s="19"/>
      <c r="BMR60" s="19"/>
      <c r="BMS60" s="19"/>
      <c r="BMT60" s="19"/>
      <c r="BMU60" s="19"/>
      <c r="BMV60" s="19"/>
      <c r="BMW60" s="19"/>
      <c r="BMX60" s="19"/>
      <c r="BMY60" s="19"/>
      <c r="BMZ60" s="19"/>
      <c r="BNA60" s="19"/>
      <c r="BNB60" s="19"/>
      <c r="BNC60" s="19"/>
      <c r="BND60" s="19"/>
      <c r="BNE60" s="19"/>
      <c r="BNF60" s="19"/>
      <c r="BNG60" s="19"/>
      <c r="BNH60" s="19"/>
      <c r="BNI60" s="19"/>
      <c r="BNJ60" s="19"/>
      <c r="BNK60" s="19"/>
      <c r="BNL60" s="19"/>
      <c r="BNM60" s="19"/>
      <c r="BNN60" s="19"/>
      <c r="BNO60" s="19"/>
      <c r="BNP60" s="19"/>
      <c r="BNQ60" s="19"/>
      <c r="BNR60" s="19"/>
      <c r="BNS60" s="19"/>
      <c r="BNT60" s="19"/>
      <c r="BNU60" s="19"/>
      <c r="BNV60" s="19"/>
      <c r="BNW60" s="19"/>
      <c r="BNX60" s="19"/>
      <c r="BNY60" s="19"/>
      <c r="BNZ60" s="19"/>
      <c r="BOA60" s="19"/>
      <c r="BOB60" s="19"/>
      <c r="BOC60" s="19"/>
      <c r="BOD60" s="19"/>
      <c r="BOE60" s="19"/>
      <c r="BOF60" s="19"/>
      <c r="BOG60" s="19"/>
      <c r="BOH60" s="19"/>
      <c r="BOI60" s="19"/>
      <c r="BOJ60" s="19"/>
      <c r="BOK60" s="19"/>
      <c r="BOL60" s="19"/>
      <c r="BOM60" s="19"/>
      <c r="BON60" s="19"/>
      <c r="BOO60" s="19"/>
      <c r="BOP60" s="19"/>
      <c r="BOQ60" s="19"/>
      <c r="BOR60" s="19"/>
      <c r="BOS60" s="19"/>
      <c r="BOT60" s="19"/>
      <c r="BOU60" s="19"/>
      <c r="BOV60" s="19"/>
      <c r="BOW60" s="19"/>
      <c r="BOX60" s="19"/>
      <c r="BOY60" s="19"/>
      <c r="BOZ60" s="19"/>
      <c r="BPA60" s="19"/>
      <c r="BPB60" s="19"/>
      <c r="BPC60" s="19"/>
      <c r="BPD60" s="19"/>
      <c r="BPE60" s="19"/>
      <c r="BPF60" s="19"/>
      <c r="BPG60" s="19"/>
      <c r="BPH60" s="19"/>
      <c r="BPI60" s="19"/>
      <c r="BPJ60" s="19"/>
      <c r="BPK60" s="19"/>
      <c r="BPL60" s="19"/>
      <c r="BPM60" s="19"/>
      <c r="BPN60" s="19"/>
      <c r="BPO60" s="19"/>
      <c r="BPP60" s="19"/>
      <c r="BPQ60" s="19"/>
      <c r="BPR60" s="19"/>
      <c r="BPS60" s="19"/>
      <c r="BPT60" s="19"/>
      <c r="BPU60" s="19"/>
      <c r="BPV60" s="19"/>
      <c r="BPW60" s="19"/>
      <c r="BPX60" s="19"/>
      <c r="BPY60" s="19"/>
      <c r="BPZ60" s="19"/>
      <c r="BQA60" s="19"/>
      <c r="BQB60" s="19"/>
      <c r="BQC60" s="19"/>
      <c r="BQD60" s="19"/>
      <c r="BQE60" s="19"/>
      <c r="BQF60" s="19"/>
      <c r="BQG60" s="19"/>
      <c r="BQH60" s="19"/>
      <c r="BQI60" s="19"/>
      <c r="BQJ60" s="19"/>
      <c r="BQK60" s="19"/>
      <c r="BQL60" s="19"/>
      <c r="BQM60" s="19"/>
      <c r="BQN60" s="19"/>
      <c r="BQO60" s="19"/>
      <c r="BQP60" s="19"/>
      <c r="BQQ60" s="19"/>
      <c r="BQR60" s="19"/>
      <c r="BQS60" s="19"/>
      <c r="BQT60" s="19"/>
      <c r="BQU60" s="19"/>
      <c r="BQV60" s="19"/>
      <c r="BQW60" s="19"/>
      <c r="BQX60" s="19"/>
      <c r="BQY60" s="19"/>
      <c r="BQZ60" s="19"/>
      <c r="BRA60" s="19"/>
      <c r="BRB60" s="19"/>
      <c r="BRC60" s="19"/>
      <c r="BRD60" s="19"/>
      <c r="BRE60" s="19"/>
      <c r="BRF60" s="19"/>
      <c r="BRG60" s="19"/>
      <c r="BRH60" s="19"/>
      <c r="BRI60" s="19"/>
      <c r="BRJ60" s="19"/>
      <c r="BRK60" s="19"/>
      <c r="BRL60" s="19"/>
      <c r="BRM60" s="19"/>
      <c r="BRN60" s="19"/>
      <c r="BRO60" s="19"/>
      <c r="BRP60" s="19"/>
      <c r="BRQ60" s="19"/>
      <c r="BRR60" s="19"/>
      <c r="BRS60" s="19"/>
      <c r="BRT60" s="19"/>
      <c r="BRU60" s="19"/>
      <c r="BRV60" s="19"/>
      <c r="BRW60" s="19"/>
      <c r="BRX60" s="19"/>
      <c r="BRY60" s="19"/>
      <c r="BRZ60" s="19"/>
      <c r="BSA60" s="19"/>
      <c r="BSB60" s="19"/>
      <c r="BSC60" s="19"/>
      <c r="BSD60" s="19"/>
      <c r="BSE60" s="19"/>
      <c r="BSF60" s="19"/>
      <c r="BSG60" s="19"/>
      <c r="BSH60" s="19"/>
      <c r="BSI60" s="19"/>
      <c r="BSJ60" s="19"/>
      <c r="BSK60" s="19"/>
      <c r="BSL60" s="19"/>
      <c r="BSM60" s="19"/>
      <c r="BSN60" s="19"/>
      <c r="BSO60" s="19"/>
      <c r="BSP60" s="19"/>
      <c r="BSQ60" s="19"/>
      <c r="BSR60" s="19"/>
      <c r="BSS60" s="19"/>
      <c r="BST60" s="19"/>
      <c r="BSU60" s="19"/>
      <c r="BSV60" s="19"/>
      <c r="BSW60" s="19"/>
      <c r="BSX60" s="19"/>
      <c r="BSY60" s="19"/>
      <c r="BSZ60" s="19"/>
      <c r="BTA60" s="19"/>
      <c r="BTB60" s="19"/>
      <c r="BTC60" s="19"/>
      <c r="BTD60" s="19"/>
      <c r="BTE60" s="19"/>
      <c r="BTF60" s="19"/>
      <c r="BTG60" s="19"/>
      <c r="BTH60" s="19"/>
      <c r="BTI60" s="19"/>
      <c r="BTJ60" s="19"/>
      <c r="BTK60" s="19"/>
      <c r="BTL60" s="19"/>
      <c r="BTM60" s="19"/>
      <c r="BTN60" s="19"/>
      <c r="BTO60" s="19"/>
      <c r="BTP60" s="19"/>
      <c r="BTQ60" s="19"/>
      <c r="BTR60" s="19"/>
      <c r="BTS60" s="19"/>
      <c r="BTT60" s="19"/>
      <c r="BTU60" s="19"/>
      <c r="BTV60" s="19"/>
      <c r="BTW60" s="19"/>
      <c r="BTX60" s="19"/>
      <c r="BTY60" s="19"/>
      <c r="BTZ60" s="19"/>
      <c r="BUA60" s="19"/>
      <c r="BUB60" s="19"/>
      <c r="BUC60" s="19"/>
      <c r="BUD60" s="19"/>
      <c r="BUE60" s="19"/>
      <c r="BUF60" s="19"/>
      <c r="BUG60" s="19"/>
      <c r="BUH60" s="19"/>
      <c r="BUI60" s="19"/>
      <c r="BUJ60" s="19"/>
      <c r="BUK60" s="19"/>
      <c r="BUL60" s="19"/>
      <c r="BUM60" s="19"/>
      <c r="BUN60" s="19"/>
      <c r="BUO60" s="19"/>
      <c r="BUP60" s="19"/>
      <c r="BUQ60" s="19"/>
      <c r="BUR60" s="19"/>
      <c r="BUS60" s="19"/>
      <c r="BUT60" s="19"/>
      <c r="BUU60" s="19"/>
      <c r="BUV60" s="19"/>
      <c r="BUW60" s="19"/>
      <c r="BUX60" s="19"/>
      <c r="BUY60" s="19"/>
      <c r="BUZ60" s="19"/>
      <c r="BVA60" s="19"/>
      <c r="BVB60" s="19"/>
      <c r="BVC60" s="19"/>
      <c r="BVD60" s="19"/>
      <c r="BVE60" s="19"/>
      <c r="BVF60" s="19"/>
      <c r="BVG60" s="19"/>
      <c r="BVH60" s="19"/>
      <c r="BVI60" s="19"/>
      <c r="BVJ60" s="19"/>
      <c r="BVK60" s="19"/>
      <c r="BVL60" s="19"/>
      <c r="BVM60" s="19"/>
      <c r="BVN60" s="19"/>
      <c r="BVO60" s="19"/>
      <c r="BVP60" s="19"/>
      <c r="BVQ60" s="19"/>
      <c r="BVR60" s="19"/>
      <c r="BVS60" s="19"/>
      <c r="BVT60" s="19"/>
      <c r="BVU60" s="19"/>
      <c r="BVV60" s="19"/>
      <c r="BVW60" s="19"/>
      <c r="BVX60" s="19"/>
      <c r="BVY60" s="19"/>
      <c r="BVZ60" s="19"/>
      <c r="BWA60" s="19"/>
      <c r="BWB60" s="19"/>
      <c r="BWC60" s="19"/>
      <c r="BWD60" s="19"/>
      <c r="BWE60" s="19"/>
      <c r="BWF60" s="19"/>
      <c r="BWG60" s="19"/>
      <c r="BWH60" s="19"/>
      <c r="BWI60" s="19"/>
      <c r="BWJ60" s="19"/>
      <c r="BWK60" s="19"/>
      <c r="BWL60" s="19"/>
      <c r="BWM60" s="19"/>
      <c r="BWN60" s="19"/>
      <c r="BWO60" s="19"/>
      <c r="BWP60" s="19"/>
      <c r="BWQ60" s="19"/>
      <c r="BWR60" s="19"/>
      <c r="BWS60" s="19"/>
      <c r="BWT60" s="19"/>
      <c r="BWU60" s="19"/>
      <c r="BWV60" s="19"/>
      <c r="BWW60" s="19"/>
      <c r="BWX60" s="19"/>
      <c r="BWY60" s="19"/>
      <c r="BWZ60" s="19"/>
      <c r="BXA60" s="19"/>
      <c r="BXB60" s="19"/>
      <c r="BXC60" s="19"/>
      <c r="BXD60" s="19"/>
      <c r="BXE60" s="19"/>
      <c r="BXF60" s="19"/>
      <c r="BXG60" s="19"/>
      <c r="BXH60" s="19"/>
      <c r="BXI60" s="19"/>
      <c r="BXJ60" s="19"/>
      <c r="BXK60" s="19"/>
      <c r="BXL60" s="19"/>
      <c r="BXM60" s="19"/>
      <c r="BXN60" s="19"/>
      <c r="BXO60" s="19"/>
      <c r="BXP60" s="19"/>
      <c r="BXQ60" s="19"/>
      <c r="BXR60" s="19"/>
      <c r="BXS60" s="19"/>
      <c r="BXT60" s="19"/>
      <c r="BXU60" s="19"/>
      <c r="BXV60" s="19"/>
      <c r="BXW60" s="19"/>
      <c r="BXX60" s="19"/>
      <c r="BXY60" s="19"/>
      <c r="BXZ60" s="19"/>
      <c r="BYA60" s="19"/>
      <c r="BYB60" s="19"/>
      <c r="BYC60" s="19"/>
      <c r="BYD60" s="19"/>
      <c r="BYE60" s="19"/>
      <c r="BYF60" s="19"/>
      <c r="BYG60" s="19"/>
      <c r="BYH60" s="19"/>
      <c r="BYI60" s="19"/>
      <c r="BYJ60" s="19"/>
      <c r="BYK60" s="19"/>
      <c r="BYL60" s="19"/>
      <c r="BYM60" s="19"/>
      <c r="BYN60" s="19"/>
      <c r="BYO60" s="19"/>
      <c r="BYP60" s="19"/>
      <c r="BYQ60" s="19"/>
      <c r="BYR60" s="19"/>
      <c r="BYS60" s="19"/>
      <c r="BYT60" s="19"/>
      <c r="BYU60" s="19"/>
      <c r="BYV60" s="19"/>
      <c r="BYW60" s="19"/>
      <c r="BYX60" s="19"/>
      <c r="BYY60" s="19"/>
      <c r="BYZ60" s="19"/>
      <c r="BZA60" s="19"/>
      <c r="BZB60" s="19"/>
      <c r="BZC60" s="19"/>
      <c r="BZD60" s="19"/>
      <c r="BZE60" s="19"/>
      <c r="BZF60" s="19"/>
      <c r="BZG60" s="19"/>
      <c r="BZH60" s="19"/>
      <c r="BZI60" s="19"/>
      <c r="BZJ60" s="19"/>
      <c r="BZK60" s="19"/>
      <c r="BZL60" s="19"/>
      <c r="BZM60" s="19"/>
      <c r="BZN60" s="19"/>
      <c r="BZO60" s="19"/>
      <c r="BZP60" s="19"/>
      <c r="BZQ60" s="19"/>
      <c r="BZR60" s="19"/>
      <c r="BZS60" s="19"/>
      <c r="BZT60" s="19"/>
      <c r="BZU60" s="19"/>
      <c r="BZV60" s="19"/>
      <c r="BZW60" s="19"/>
      <c r="BZX60" s="19"/>
      <c r="BZY60" s="19"/>
      <c r="BZZ60" s="19"/>
      <c r="CAA60" s="19"/>
      <c r="CAB60" s="19"/>
      <c r="CAC60" s="19"/>
      <c r="CAD60" s="19"/>
      <c r="CAE60" s="19"/>
      <c r="CAF60" s="19"/>
      <c r="CAG60" s="19"/>
      <c r="CAH60" s="19"/>
      <c r="CAI60" s="19"/>
      <c r="CAJ60" s="19"/>
      <c r="CAK60" s="19"/>
      <c r="CAL60" s="19"/>
      <c r="CAM60" s="19"/>
      <c r="CAN60" s="19"/>
      <c r="CAO60" s="19"/>
      <c r="CAP60" s="19"/>
      <c r="CAQ60" s="19"/>
      <c r="CAR60" s="19"/>
      <c r="CAS60" s="19"/>
      <c r="CAT60" s="19"/>
      <c r="CAU60" s="19"/>
      <c r="CAV60" s="19"/>
      <c r="CAW60" s="19"/>
      <c r="CAX60" s="19"/>
      <c r="CAY60" s="19"/>
      <c r="CAZ60" s="19"/>
      <c r="CBA60" s="19"/>
      <c r="CBB60" s="19"/>
      <c r="CBC60" s="19"/>
      <c r="CBD60" s="19"/>
      <c r="CBE60" s="19"/>
      <c r="CBF60" s="19"/>
      <c r="CBG60" s="19"/>
      <c r="CBH60" s="19"/>
      <c r="CBI60" s="19"/>
      <c r="CBJ60" s="19"/>
      <c r="CBK60" s="19"/>
      <c r="CBL60" s="19"/>
      <c r="CBM60" s="19"/>
      <c r="CBN60" s="19"/>
      <c r="CBO60" s="19"/>
      <c r="CBP60" s="19"/>
      <c r="CBQ60" s="19"/>
      <c r="CBR60" s="19"/>
      <c r="CBS60" s="19"/>
      <c r="CBT60" s="19"/>
      <c r="CBU60" s="19"/>
      <c r="CBV60" s="19"/>
      <c r="CBW60" s="19"/>
      <c r="CBX60" s="19"/>
      <c r="CBY60" s="19"/>
      <c r="CBZ60" s="19"/>
      <c r="CCA60" s="19"/>
      <c r="CCB60" s="19"/>
      <c r="CCC60" s="19"/>
      <c r="CCD60" s="19"/>
      <c r="CCE60" s="19"/>
      <c r="CCF60" s="19"/>
      <c r="CCG60" s="19"/>
      <c r="CCH60" s="19"/>
      <c r="CCI60" s="19"/>
      <c r="CCJ60" s="19"/>
      <c r="CCK60" s="19"/>
      <c r="CCL60" s="19"/>
      <c r="CCM60" s="19"/>
      <c r="CCN60" s="19"/>
      <c r="CCO60" s="19"/>
      <c r="CCP60" s="19"/>
      <c r="CCQ60" s="19"/>
      <c r="CCR60" s="19"/>
      <c r="CCS60" s="19"/>
      <c r="CCT60" s="19"/>
      <c r="CCU60" s="19"/>
      <c r="CCV60" s="19"/>
      <c r="CCW60" s="19"/>
      <c r="CCX60" s="19"/>
      <c r="CCY60" s="19"/>
      <c r="CCZ60" s="19"/>
      <c r="CDA60" s="19"/>
      <c r="CDB60" s="19"/>
      <c r="CDC60" s="19"/>
      <c r="CDD60" s="19"/>
      <c r="CDE60" s="19"/>
      <c r="CDF60" s="19"/>
      <c r="CDG60" s="19"/>
      <c r="CDH60" s="19"/>
      <c r="CDI60" s="19"/>
      <c r="CDJ60" s="19"/>
      <c r="CDK60" s="19"/>
      <c r="CDL60" s="19"/>
      <c r="CDM60" s="19"/>
      <c r="CDN60" s="19"/>
      <c r="CDO60" s="19"/>
      <c r="CDP60" s="19"/>
      <c r="CDQ60" s="19"/>
      <c r="CDR60" s="19"/>
      <c r="CDS60" s="19"/>
      <c r="CDT60" s="19"/>
      <c r="CDU60" s="19"/>
      <c r="CDV60" s="19"/>
      <c r="CDW60" s="19"/>
      <c r="CDX60" s="19"/>
      <c r="CDY60" s="19"/>
      <c r="CDZ60" s="19"/>
      <c r="CEA60" s="19"/>
      <c r="CEB60" s="19"/>
      <c r="CEC60" s="19"/>
      <c r="CED60" s="19"/>
      <c r="CEE60" s="19"/>
      <c r="CEF60" s="19"/>
      <c r="CEG60" s="19"/>
      <c r="CEH60" s="19"/>
      <c r="CEI60" s="19"/>
      <c r="CEJ60" s="19"/>
      <c r="CEK60" s="19"/>
      <c r="CEL60" s="19"/>
      <c r="CEM60" s="19"/>
      <c r="CEN60" s="19"/>
      <c r="CEO60" s="19"/>
      <c r="CEP60" s="19"/>
      <c r="CEQ60" s="19"/>
      <c r="CER60" s="19"/>
      <c r="CES60" s="19"/>
      <c r="CET60" s="19"/>
      <c r="CEU60" s="19"/>
      <c r="CEV60" s="19"/>
      <c r="CEW60" s="19"/>
      <c r="CEX60" s="19"/>
      <c r="CEY60" s="19"/>
      <c r="CEZ60" s="19"/>
      <c r="CFA60" s="19"/>
      <c r="CFB60" s="19"/>
      <c r="CFC60" s="19"/>
      <c r="CFD60" s="19"/>
      <c r="CFE60" s="19"/>
      <c r="CFF60" s="19"/>
      <c r="CFG60" s="19"/>
      <c r="CFH60" s="19"/>
      <c r="CFI60" s="19"/>
      <c r="CFJ60" s="19"/>
      <c r="CFK60" s="19"/>
      <c r="CFL60" s="19"/>
      <c r="CFM60" s="19"/>
      <c r="CFN60" s="19"/>
      <c r="CFO60" s="19"/>
      <c r="CFP60" s="19"/>
      <c r="CFQ60" s="19"/>
      <c r="CFR60" s="19"/>
      <c r="CFS60" s="19"/>
      <c r="CFT60" s="19"/>
      <c r="CFU60" s="19"/>
      <c r="CFV60" s="19"/>
      <c r="CFW60" s="19"/>
      <c r="CFX60" s="19"/>
      <c r="CFY60" s="19"/>
      <c r="CFZ60" s="19"/>
      <c r="CGA60" s="19"/>
      <c r="CGB60" s="19"/>
      <c r="CGC60" s="19"/>
      <c r="CGD60" s="19"/>
      <c r="CGE60" s="19"/>
      <c r="CGF60" s="19"/>
      <c r="CGG60" s="19"/>
      <c r="CGH60" s="19"/>
      <c r="CGI60" s="19"/>
      <c r="CGJ60" s="19"/>
      <c r="CGK60" s="19"/>
      <c r="CGL60" s="19"/>
      <c r="CGM60" s="19"/>
      <c r="CGN60" s="19"/>
      <c r="CGO60" s="19"/>
      <c r="CGP60" s="19"/>
      <c r="CGQ60" s="19"/>
      <c r="CGR60" s="19"/>
      <c r="CGS60" s="19"/>
      <c r="CGT60" s="19"/>
      <c r="CGU60" s="19"/>
      <c r="CGV60" s="19"/>
      <c r="CGW60" s="19"/>
      <c r="CGX60" s="19"/>
      <c r="CGY60" s="19"/>
      <c r="CGZ60" s="19"/>
      <c r="CHA60" s="19"/>
      <c r="CHB60" s="19"/>
      <c r="CHC60" s="19"/>
      <c r="CHD60" s="19"/>
      <c r="CHE60" s="19"/>
      <c r="CHF60" s="19"/>
      <c r="CHG60" s="19"/>
      <c r="CHH60" s="19"/>
      <c r="CHI60" s="19"/>
      <c r="CHJ60" s="19"/>
      <c r="CHK60" s="19"/>
      <c r="CHL60" s="19"/>
      <c r="CHM60" s="19"/>
      <c r="CHN60" s="19"/>
      <c r="CHO60" s="19"/>
      <c r="CHP60" s="19"/>
      <c r="CHQ60" s="19"/>
      <c r="CHR60" s="19"/>
      <c r="CHS60" s="19"/>
      <c r="CHT60" s="19"/>
      <c r="CHU60" s="19"/>
      <c r="CHV60" s="19"/>
      <c r="CHW60" s="19"/>
      <c r="CHX60" s="19"/>
      <c r="CHY60" s="19"/>
      <c r="CHZ60" s="19"/>
      <c r="CIA60" s="19"/>
      <c r="CIB60" s="19"/>
      <c r="CIC60" s="19"/>
      <c r="CID60" s="19"/>
      <c r="CIE60" s="19"/>
      <c r="CIF60" s="19"/>
      <c r="CIG60" s="19"/>
      <c r="CIH60" s="19"/>
      <c r="CII60" s="19"/>
      <c r="CIJ60" s="19"/>
      <c r="CIK60" s="19"/>
      <c r="CIL60" s="19"/>
      <c r="CIM60" s="19"/>
      <c r="CIN60" s="19"/>
      <c r="CIO60" s="19"/>
      <c r="CIP60" s="19"/>
      <c r="CIQ60" s="19"/>
      <c r="CIR60" s="19"/>
      <c r="CIS60" s="19"/>
      <c r="CIT60" s="19"/>
      <c r="CIU60" s="19"/>
      <c r="CIV60" s="19"/>
      <c r="CIW60" s="19"/>
      <c r="CIX60" s="19"/>
      <c r="CIY60" s="19"/>
      <c r="CIZ60" s="19"/>
      <c r="CJA60" s="19"/>
      <c r="CJB60" s="19"/>
      <c r="CJC60" s="19"/>
      <c r="CJD60" s="19"/>
      <c r="CJE60" s="19"/>
      <c r="CJF60" s="19"/>
      <c r="CJG60" s="19"/>
      <c r="CJH60" s="19"/>
      <c r="CJI60" s="19"/>
      <c r="CJJ60" s="19"/>
      <c r="CJK60" s="19"/>
      <c r="CJL60" s="19"/>
      <c r="CJM60" s="19"/>
      <c r="CJN60" s="19"/>
      <c r="CJO60" s="19"/>
      <c r="CJP60" s="19"/>
      <c r="CJQ60" s="19"/>
      <c r="CJR60" s="19"/>
      <c r="CJS60" s="19"/>
      <c r="CJT60" s="19"/>
      <c r="CJU60" s="19"/>
      <c r="CJV60" s="19"/>
      <c r="CJW60" s="19"/>
      <c r="CJX60" s="19"/>
      <c r="CJY60" s="19"/>
      <c r="CJZ60" s="19"/>
      <c r="CKA60" s="19"/>
      <c r="CKB60" s="19"/>
      <c r="CKC60" s="19"/>
      <c r="CKD60" s="19"/>
      <c r="CKE60" s="19"/>
      <c r="CKF60" s="19"/>
      <c r="CKG60" s="19"/>
      <c r="CKH60" s="19"/>
      <c r="CKI60" s="19"/>
      <c r="CKJ60" s="19"/>
      <c r="CKK60" s="19"/>
      <c r="CKL60" s="19"/>
      <c r="CKM60" s="19"/>
      <c r="CKN60" s="19"/>
      <c r="CKO60" s="19"/>
      <c r="CKP60" s="19"/>
      <c r="CKQ60" s="19"/>
      <c r="CKR60" s="19"/>
      <c r="CKS60" s="19"/>
      <c r="CKT60" s="19"/>
      <c r="CKU60" s="19"/>
      <c r="CKV60" s="19"/>
      <c r="CKW60" s="19"/>
      <c r="CKX60" s="19"/>
      <c r="CKY60" s="19"/>
      <c r="CKZ60" s="19"/>
      <c r="CLA60" s="19"/>
      <c r="CLB60" s="19"/>
      <c r="CLC60" s="19"/>
      <c r="CLD60" s="19"/>
      <c r="CLE60" s="19"/>
      <c r="CLF60" s="19"/>
      <c r="CLG60" s="19"/>
      <c r="CLH60" s="19"/>
      <c r="CLI60" s="19"/>
      <c r="CLJ60" s="19"/>
      <c r="CLK60" s="19"/>
      <c r="CLL60" s="19"/>
      <c r="CLM60" s="19"/>
      <c r="CLN60" s="19"/>
      <c r="CLO60" s="19"/>
      <c r="CLP60" s="19"/>
      <c r="CLQ60" s="19"/>
      <c r="CLR60" s="19"/>
      <c r="CLS60" s="19"/>
      <c r="CLT60" s="19"/>
      <c r="CLU60" s="19"/>
      <c r="CLV60" s="19"/>
      <c r="CLW60" s="19"/>
      <c r="CLX60" s="19"/>
      <c r="CLY60" s="19"/>
      <c r="CLZ60" s="19"/>
      <c r="CMA60" s="19"/>
      <c r="CMB60" s="19"/>
      <c r="CMC60" s="19"/>
      <c r="CMD60" s="19"/>
      <c r="CME60" s="19"/>
      <c r="CMF60" s="19"/>
      <c r="CMG60" s="19"/>
      <c r="CMH60" s="19"/>
      <c r="CMI60" s="19"/>
      <c r="CMJ60" s="19"/>
      <c r="CMK60" s="19"/>
      <c r="CML60" s="19"/>
      <c r="CMM60" s="19"/>
      <c r="CMN60" s="19"/>
      <c r="CMO60" s="19"/>
      <c r="CMP60" s="19"/>
      <c r="CMQ60" s="19"/>
      <c r="CMR60" s="19"/>
      <c r="CMS60" s="19"/>
      <c r="CMT60" s="19"/>
      <c r="CMU60" s="19"/>
      <c r="CMV60" s="19"/>
      <c r="CMW60" s="19"/>
      <c r="CMX60" s="19"/>
      <c r="CMY60" s="19"/>
      <c r="CMZ60" s="19"/>
      <c r="CNA60" s="19"/>
      <c r="CNB60" s="19"/>
      <c r="CNC60" s="19"/>
      <c r="CND60" s="19"/>
      <c r="CNE60" s="19"/>
      <c r="CNF60" s="19"/>
      <c r="CNG60" s="19"/>
      <c r="CNH60" s="19"/>
      <c r="CNI60" s="19"/>
      <c r="CNJ60" s="19"/>
      <c r="CNK60" s="19"/>
      <c r="CNL60" s="19"/>
      <c r="CNM60" s="19"/>
      <c r="CNN60" s="19"/>
      <c r="CNO60" s="19"/>
      <c r="CNP60" s="19"/>
      <c r="CNQ60" s="19"/>
      <c r="CNR60" s="19"/>
      <c r="CNS60" s="19"/>
      <c r="CNT60" s="19"/>
      <c r="CNU60" s="19"/>
      <c r="CNV60" s="19"/>
      <c r="CNW60" s="19"/>
      <c r="CNX60" s="19"/>
      <c r="CNY60" s="19"/>
      <c r="CNZ60" s="19"/>
      <c r="COA60" s="19"/>
      <c r="COB60" s="19"/>
      <c r="COC60" s="19"/>
      <c r="COD60" s="19"/>
      <c r="COE60" s="19"/>
      <c r="COF60" s="19"/>
      <c r="COG60" s="19"/>
      <c r="COH60" s="19"/>
      <c r="COI60" s="19"/>
      <c r="COJ60" s="19"/>
      <c r="COK60" s="19"/>
      <c r="COL60" s="19"/>
      <c r="COM60" s="19"/>
      <c r="CON60" s="19"/>
      <c r="COO60" s="19"/>
      <c r="COP60" s="19"/>
      <c r="COQ60" s="19"/>
      <c r="COR60" s="19"/>
      <c r="COS60" s="19"/>
      <c r="COT60" s="19"/>
      <c r="COU60" s="19"/>
      <c r="COV60" s="19"/>
      <c r="COW60" s="19"/>
      <c r="COX60" s="19"/>
      <c r="COY60" s="19"/>
      <c r="COZ60" s="19"/>
      <c r="CPA60" s="19"/>
      <c r="CPB60" s="19"/>
      <c r="CPC60" s="19"/>
      <c r="CPD60" s="19"/>
      <c r="CPE60" s="19"/>
      <c r="CPF60" s="19"/>
      <c r="CPG60" s="19"/>
      <c r="CPH60" s="19"/>
      <c r="CPI60" s="19"/>
      <c r="CPJ60" s="19"/>
      <c r="CPK60" s="19"/>
      <c r="CPL60" s="19"/>
      <c r="CPM60" s="19"/>
      <c r="CPN60" s="19"/>
      <c r="CPO60" s="19"/>
      <c r="CPP60" s="19"/>
      <c r="CPQ60" s="19"/>
      <c r="CPR60" s="19"/>
      <c r="CPS60" s="19"/>
      <c r="CPT60" s="19"/>
      <c r="CPU60" s="19"/>
      <c r="CPV60" s="19"/>
      <c r="CPW60" s="19"/>
      <c r="CPX60" s="19"/>
      <c r="CPY60" s="19"/>
      <c r="CPZ60" s="19"/>
      <c r="CQA60" s="19"/>
      <c r="CQB60" s="19"/>
      <c r="CQC60" s="19"/>
      <c r="CQD60" s="19"/>
      <c r="CQE60" s="19"/>
      <c r="CQF60" s="19"/>
      <c r="CQG60" s="19"/>
      <c r="CQH60" s="19"/>
      <c r="CQI60" s="19"/>
      <c r="CQJ60" s="19"/>
      <c r="CQK60" s="19"/>
      <c r="CQL60" s="19"/>
      <c r="CQM60" s="19"/>
      <c r="CQN60" s="19"/>
      <c r="CQO60" s="19"/>
      <c r="CQP60" s="19"/>
      <c r="CQQ60" s="19"/>
      <c r="CQR60" s="19"/>
      <c r="CQS60" s="19"/>
      <c r="CQT60" s="19"/>
      <c r="CQU60" s="19"/>
      <c r="CQV60" s="19"/>
      <c r="CQW60" s="19"/>
      <c r="CQX60" s="19"/>
      <c r="CQY60" s="19"/>
      <c r="CQZ60" s="19"/>
      <c r="CRA60" s="19"/>
      <c r="CRB60" s="19"/>
      <c r="CRC60" s="19"/>
      <c r="CRD60" s="19"/>
      <c r="CRE60" s="19"/>
      <c r="CRF60" s="19"/>
      <c r="CRG60" s="19"/>
      <c r="CRH60" s="19"/>
      <c r="CRI60" s="19"/>
      <c r="CRJ60" s="19"/>
      <c r="CRK60" s="19"/>
      <c r="CRL60" s="19"/>
      <c r="CRM60" s="19"/>
      <c r="CRN60" s="19"/>
      <c r="CRO60" s="19"/>
      <c r="CRP60" s="19"/>
      <c r="CRQ60" s="19"/>
      <c r="CRR60" s="19"/>
      <c r="CRS60" s="19"/>
      <c r="CRT60" s="19"/>
      <c r="CRU60" s="19"/>
      <c r="CRV60" s="19"/>
      <c r="CRW60" s="19"/>
      <c r="CRX60" s="19"/>
      <c r="CRY60" s="19"/>
      <c r="CRZ60" s="19"/>
      <c r="CSA60" s="19"/>
      <c r="CSB60" s="19"/>
      <c r="CSC60" s="19"/>
      <c r="CSD60" s="19"/>
      <c r="CSE60" s="19"/>
      <c r="CSF60" s="19"/>
      <c r="CSG60" s="19"/>
      <c r="CSH60" s="19"/>
      <c r="CSI60" s="19"/>
      <c r="CSJ60" s="19"/>
      <c r="CSK60" s="19"/>
      <c r="CSL60" s="19"/>
      <c r="CSM60" s="19"/>
      <c r="CSN60" s="19"/>
      <c r="CSO60" s="19"/>
      <c r="CSP60" s="19"/>
      <c r="CSQ60" s="19"/>
      <c r="CSR60" s="19"/>
      <c r="CSS60" s="19"/>
      <c r="CST60" s="19"/>
      <c r="CSU60" s="19"/>
      <c r="CSV60" s="19"/>
      <c r="CSW60" s="19"/>
      <c r="CSX60" s="19"/>
      <c r="CSY60" s="19"/>
      <c r="CSZ60" s="19"/>
      <c r="CTA60" s="19"/>
      <c r="CTB60" s="19"/>
      <c r="CTC60" s="19"/>
      <c r="CTD60" s="19"/>
      <c r="CTE60" s="19"/>
      <c r="CTF60" s="19"/>
      <c r="CTG60" s="19"/>
      <c r="CTH60" s="19"/>
      <c r="CTI60" s="19"/>
      <c r="CTJ60" s="19"/>
      <c r="CTK60" s="19"/>
      <c r="CTL60" s="19"/>
      <c r="CTM60" s="19"/>
      <c r="CTN60" s="19"/>
      <c r="CTO60" s="19"/>
      <c r="CTP60" s="19"/>
      <c r="CTQ60" s="19"/>
      <c r="CTR60" s="19"/>
      <c r="CTS60" s="19"/>
      <c r="CTT60" s="19"/>
      <c r="CTU60" s="19"/>
      <c r="CTV60" s="19"/>
      <c r="CTW60" s="19"/>
      <c r="CTX60" s="19"/>
      <c r="CTY60" s="19"/>
      <c r="CTZ60" s="19"/>
      <c r="CUA60" s="19"/>
    </row>
    <row r="61" s="19" customFormat="1" ht="22.5" customHeight="1" spans="1:16384">
      <c r="A61" s="51">
        <v>2</v>
      </c>
      <c r="B61" s="100" t="s">
        <v>125</v>
      </c>
      <c r="C61" s="73" t="s">
        <v>126</v>
      </c>
      <c r="D61" s="50" t="s">
        <v>27</v>
      </c>
      <c r="E61" s="123">
        <f>(6.92*3.3+2.8*3.3+3.4*3.3+3.4*3.3*2)*2</f>
        <v>131.472</v>
      </c>
      <c r="F61" s="114"/>
      <c r="G61" s="130"/>
      <c r="H61" s="112" t="s">
        <v>97</v>
      </c>
      <c r="I61" s="20">
        <f>4.9876</f>
        <v>4.9876</v>
      </c>
      <c r="J61" s="150">
        <v>0.5749</v>
      </c>
      <c r="K61" s="150">
        <v>0.5996</v>
      </c>
      <c r="L61" s="148">
        <f t="shared" si="54"/>
        <v>1.1471023904</v>
      </c>
      <c r="M61" s="148">
        <f t="shared" si="55"/>
        <v>0.6954119408</v>
      </c>
      <c r="N61" s="148">
        <f t="shared" si="56"/>
        <v>1.080622934712</v>
      </c>
      <c r="O61" s="148">
        <f t="shared" si="57"/>
        <v>0.99752</v>
      </c>
      <c r="P61" s="148">
        <f t="shared" si="58"/>
        <v>0.9084164672</v>
      </c>
      <c r="Q61" s="148">
        <f t="shared" si="59"/>
        <v>1.10791031229769</v>
      </c>
      <c r="R61" s="148">
        <f t="shared" si="60"/>
        <v>12.0990840454097</v>
      </c>
      <c r="S61" s="21">
        <f>R61+R62+R63</f>
        <v>128.690115665507</v>
      </c>
      <c r="T61" s="19" t="s">
        <v>30</v>
      </c>
      <c r="XDY61" s="21"/>
      <c r="XDZ61" s="21"/>
      <c r="XEA61" s="21"/>
      <c r="XEB61" s="21"/>
      <c r="XEC61" s="21"/>
      <c r="XED61" s="21"/>
      <c r="XEE61" s="21"/>
      <c r="XEF61" s="21"/>
      <c r="XEG61" s="21"/>
      <c r="XEH61" s="21"/>
      <c r="XEI61" s="21"/>
      <c r="XEJ61" s="21"/>
      <c r="XEK61" s="21"/>
      <c r="XEL61" s="21"/>
      <c r="XEM61" s="21"/>
      <c r="XEN61" s="21"/>
      <c r="XEO61" s="21"/>
      <c r="XEP61" s="21"/>
      <c r="XEQ61" s="21"/>
      <c r="XER61" s="21"/>
      <c r="XES61" s="21"/>
      <c r="XET61" s="21"/>
      <c r="XEU61" s="21"/>
      <c r="XEV61" s="21"/>
      <c r="XEW61" s="21"/>
      <c r="XEX61" s="21"/>
      <c r="XEY61" s="21"/>
      <c r="XEZ61" s="21"/>
      <c r="XFA61" s="21"/>
      <c r="XFB61" s="21"/>
      <c r="XFC61" s="21"/>
      <c r="XFD61" s="21"/>
    </row>
    <row r="62" s="19" customFormat="1" ht="22.5" customHeight="1" spans="1:16384">
      <c r="A62" s="51"/>
      <c r="B62" s="100"/>
      <c r="C62" s="73"/>
      <c r="D62" s="50"/>
      <c r="E62" s="123"/>
      <c r="F62" s="114"/>
      <c r="G62" s="130"/>
      <c r="H62" s="112" t="s">
        <v>123</v>
      </c>
      <c r="I62" s="20">
        <f>2.5033</f>
        <v>2.5033</v>
      </c>
      <c r="J62" s="150">
        <f>0.0047</f>
        <v>0.0047</v>
      </c>
      <c r="K62" s="150"/>
      <c r="L62" s="148">
        <f t="shared" si="54"/>
        <v>0.57025174</v>
      </c>
      <c r="M62" s="148">
        <f t="shared" si="55"/>
        <v>0.34570573</v>
      </c>
      <c r="N62" s="148">
        <f t="shared" si="56"/>
        <v>0.46223425845</v>
      </c>
      <c r="O62" s="148">
        <f t="shared" si="57"/>
        <v>0.50066</v>
      </c>
      <c r="P62" s="148">
        <f t="shared" si="58"/>
        <v>0.45159532</v>
      </c>
      <c r="Q62" s="148">
        <f t="shared" si="59"/>
        <v>0.48771546248376</v>
      </c>
      <c r="R62" s="148">
        <f t="shared" si="60"/>
        <v>5.32616251093376</v>
      </c>
      <c r="S62" s="21"/>
      <c r="T62" s="19" t="s">
        <v>81</v>
      </c>
      <c r="XDY62" s="21"/>
      <c r="XDZ62" s="21"/>
      <c r="XEA62" s="21"/>
      <c r="XEB62" s="21"/>
      <c r="XEC62" s="21"/>
      <c r="XED62" s="21"/>
      <c r="XEE62" s="21"/>
      <c r="XEF62" s="21"/>
      <c r="XEG62" s="21"/>
      <c r="XEH62" s="21"/>
      <c r="XEI62" s="21"/>
      <c r="XEJ62" s="21"/>
      <c r="XEK62" s="21"/>
      <c r="XEL62" s="21"/>
      <c r="XEM62" s="21"/>
      <c r="XEN62" s="21"/>
      <c r="XEO62" s="21"/>
      <c r="XEP62" s="21"/>
      <c r="XEQ62" s="21"/>
      <c r="XER62" s="21"/>
      <c r="XES62" s="21"/>
      <c r="XET62" s="21"/>
      <c r="XEU62" s="21"/>
      <c r="XEV62" s="21"/>
      <c r="XEW62" s="21"/>
      <c r="XEX62" s="21"/>
      <c r="XEY62" s="21"/>
      <c r="XEZ62" s="21"/>
      <c r="XFA62" s="21"/>
      <c r="XFB62" s="21"/>
      <c r="XFC62" s="21"/>
      <c r="XFD62" s="21"/>
    </row>
    <row r="63" s="19" customFormat="1" ht="22.5" customHeight="1" spans="1:16384">
      <c r="A63" s="51"/>
      <c r="B63" s="102"/>
      <c r="C63" s="63"/>
      <c r="D63" s="50"/>
      <c r="E63" s="125"/>
      <c r="F63" s="132"/>
      <c r="G63" s="133"/>
      <c r="H63" s="145" t="s">
        <v>127</v>
      </c>
      <c r="I63" s="19">
        <f>9.7716+19.1602</f>
        <v>28.9318</v>
      </c>
      <c r="J63" s="148">
        <f>25.7191+13.70841</f>
        <v>39.42751</v>
      </c>
      <c r="K63" s="148">
        <f>0.3954</f>
        <v>0.3954</v>
      </c>
      <c r="L63" s="148">
        <f t="shared" si="54"/>
        <v>6.5978698096</v>
      </c>
      <c r="M63" s="148">
        <f t="shared" si="55"/>
        <v>3.9998499592</v>
      </c>
      <c r="N63" s="148">
        <f t="shared" si="56"/>
        <v>10.712578018788</v>
      </c>
      <c r="O63" s="148">
        <f t="shared" si="57"/>
        <v>5.78636</v>
      </c>
      <c r="P63" s="148">
        <f t="shared" si="58"/>
        <v>5.2250031328</v>
      </c>
      <c r="Q63" s="148">
        <f t="shared" si="59"/>
        <v>10.1884981887751</v>
      </c>
      <c r="R63" s="148">
        <f t="shared" si="60"/>
        <v>111.264869109163</v>
      </c>
      <c r="S63" s="21"/>
      <c r="T63" s="20"/>
      <c r="XDY63" s="21"/>
      <c r="XDZ63" s="21"/>
      <c r="XEA63" s="21"/>
      <c r="XEB63" s="21"/>
      <c r="XEC63" s="21"/>
      <c r="XED63" s="21"/>
      <c r="XEE63" s="21"/>
      <c r="XEF63" s="21"/>
      <c r="XEG63" s="21"/>
      <c r="XEH63" s="21"/>
      <c r="XEI63" s="21"/>
      <c r="XEJ63" s="21"/>
      <c r="XEK63" s="21"/>
      <c r="XEL63" s="21"/>
      <c r="XEM63" s="21"/>
      <c r="XEN63" s="21"/>
      <c r="XEO63" s="21"/>
      <c r="XEP63" s="21"/>
      <c r="XEQ63" s="21"/>
      <c r="XER63" s="21"/>
      <c r="XES63" s="21"/>
      <c r="XET63" s="21"/>
      <c r="XEU63" s="21"/>
      <c r="XEV63" s="21"/>
      <c r="XEW63" s="21"/>
      <c r="XEX63" s="21"/>
      <c r="XEY63" s="21"/>
      <c r="XEZ63" s="21"/>
      <c r="XFA63" s="21"/>
      <c r="XFB63" s="21"/>
      <c r="XFC63" s="21"/>
      <c r="XFD63" s="21"/>
    </row>
    <row r="64" s="19" customFormat="1" ht="22.5" customHeight="1" spans="1:16384">
      <c r="A64" s="51">
        <v>3</v>
      </c>
      <c r="B64" s="53" t="s">
        <v>128</v>
      </c>
      <c r="C64" s="66" t="s">
        <v>129</v>
      </c>
      <c r="D64" s="61" t="s">
        <v>27</v>
      </c>
      <c r="E64" s="119">
        <f>(5.7*2.6*2+3.5*2.6+2.8*2.6+(2+2.8)*3.6)*2</f>
        <v>126.6</v>
      </c>
      <c r="F64" s="116"/>
      <c r="G64" s="116"/>
      <c r="H64" s="112" t="s">
        <v>130</v>
      </c>
      <c r="I64" s="20">
        <f>(55.1282+9.7716)*110%</f>
        <v>71.38978</v>
      </c>
      <c r="J64" s="150">
        <f>124.178+25.7191</f>
        <v>149.8971</v>
      </c>
      <c r="K64" s="150"/>
      <c r="L64" s="148">
        <f t="shared" si="54"/>
        <v>16.262591884</v>
      </c>
      <c r="M64" s="148">
        <f t="shared" si="55"/>
        <v>9.858928618</v>
      </c>
      <c r="N64" s="148">
        <f t="shared" si="56"/>
        <v>33.40013406777</v>
      </c>
      <c r="O64" s="148">
        <f t="shared" si="57"/>
        <v>14.277956</v>
      </c>
      <c r="P64" s="148">
        <f t="shared" si="58"/>
        <v>12.878716312</v>
      </c>
      <c r="Q64" s="148">
        <f t="shared" si="59"/>
        <v>31.0428928536824</v>
      </c>
      <c r="R64" s="148">
        <f t="shared" ref="R64:R73" si="61">I64+J64+K64+L64+M64+N64+O64+P64+Q64</f>
        <v>339.008099735452</v>
      </c>
      <c r="S64" s="158">
        <f>R64+R65+R66</f>
        <v>355.631493481745</v>
      </c>
      <c r="T64" s="20"/>
      <c r="XDY64" s="21"/>
      <c r="XDZ64" s="21"/>
      <c r="XEA64" s="21"/>
      <c r="XEB64" s="21"/>
      <c r="XEC64" s="21"/>
      <c r="XED64" s="21"/>
      <c r="XEE64" s="21"/>
      <c r="XEF64" s="21"/>
      <c r="XEG64" s="21"/>
      <c r="XEH64" s="21"/>
      <c r="XEI64" s="21"/>
      <c r="XEJ64" s="21"/>
      <c r="XEK64" s="21"/>
      <c r="XEL64" s="21"/>
      <c r="XEM64" s="21"/>
      <c r="XEN64" s="21"/>
      <c r="XEO64" s="21"/>
      <c r="XEP64" s="21"/>
      <c r="XEQ64" s="21"/>
      <c r="XER64" s="21"/>
      <c r="XES64" s="21"/>
      <c r="XET64" s="21"/>
      <c r="XEU64" s="21"/>
      <c r="XEV64" s="21"/>
      <c r="XEW64" s="21"/>
      <c r="XEX64" s="21"/>
      <c r="XEY64" s="21"/>
      <c r="XEZ64" s="21"/>
      <c r="XFA64" s="21"/>
      <c r="XFB64" s="21"/>
      <c r="XFC64" s="21"/>
      <c r="XFD64" s="21"/>
    </row>
    <row r="65" s="19" customFormat="1" ht="22.5" customHeight="1" spans="1:16384">
      <c r="A65" s="51"/>
      <c r="B65" s="53"/>
      <c r="C65" s="66"/>
      <c r="D65" s="61"/>
      <c r="E65" s="119"/>
      <c r="F65" s="116"/>
      <c r="G65" s="116"/>
      <c r="H65" s="190" t="s">
        <v>123</v>
      </c>
      <c r="I65" s="20">
        <f>2.5033</f>
        <v>2.5033</v>
      </c>
      <c r="J65" s="150">
        <f>0.0047</f>
        <v>0.0047</v>
      </c>
      <c r="K65" s="150"/>
      <c r="L65" s="148">
        <f t="shared" si="54"/>
        <v>0.57025174</v>
      </c>
      <c r="M65" s="148">
        <f t="shared" si="55"/>
        <v>0.34570573</v>
      </c>
      <c r="N65" s="148">
        <f t="shared" si="56"/>
        <v>0.46223425845</v>
      </c>
      <c r="O65" s="148">
        <f t="shared" si="57"/>
        <v>0.50066</v>
      </c>
      <c r="P65" s="148">
        <f t="shared" si="58"/>
        <v>0.45159532</v>
      </c>
      <c r="Q65" s="148">
        <f t="shared" si="59"/>
        <v>0.48771546248376</v>
      </c>
      <c r="R65" s="148">
        <f t="shared" si="61"/>
        <v>5.32616251093376</v>
      </c>
      <c r="S65" s="158"/>
      <c r="T65" s="20" t="s">
        <v>81</v>
      </c>
      <c r="XDY65" s="21"/>
      <c r="XDZ65" s="21"/>
      <c r="XEA65" s="21"/>
      <c r="XEB65" s="21"/>
      <c r="XEC65" s="21"/>
      <c r="XED65" s="21"/>
      <c r="XEE65" s="21"/>
      <c r="XEF65" s="21"/>
      <c r="XEG65" s="21"/>
      <c r="XEH65" s="21"/>
      <c r="XEI65" s="21"/>
      <c r="XEJ65" s="21"/>
      <c r="XEK65" s="21"/>
      <c r="XEL65" s="21"/>
      <c r="XEM65" s="21"/>
      <c r="XEN65" s="21"/>
      <c r="XEO65" s="21"/>
      <c r="XEP65" s="21"/>
      <c r="XEQ65" s="21"/>
      <c r="XER65" s="21"/>
      <c r="XES65" s="21"/>
      <c r="XET65" s="21"/>
      <c r="XEU65" s="21"/>
      <c r="XEV65" s="21"/>
      <c r="XEW65" s="21"/>
      <c r="XEX65" s="21"/>
      <c r="XEY65" s="21"/>
      <c r="XEZ65" s="21"/>
      <c r="XFA65" s="21"/>
      <c r="XFB65" s="21"/>
      <c r="XFC65" s="21"/>
      <c r="XFD65" s="21"/>
    </row>
    <row r="66" s="19" customFormat="1" ht="22.5" customHeight="1" spans="1:16384">
      <c r="A66" s="51"/>
      <c r="B66" s="53"/>
      <c r="C66" s="66"/>
      <c r="D66" s="61"/>
      <c r="E66" s="119"/>
      <c r="F66" s="116"/>
      <c r="G66" s="116"/>
      <c r="H66" s="190" t="s">
        <v>97</v>
      </c>
      <c r="I66" s="154">
        <f>4.9776</f>
        <v>4.9776</v>
      </c>
      <c r="J66" s="151">
        <v>0.5749</v>
      </c>
      <c r="K66" s="150"/>
      <c r="L66" s="148">
        <f t="shared" si="54"/>
        <v>1.13389728</v>
      </c>
      <c r="M66" s="148">
        <f t="shared" si="55"/>
        <v>0.68740656</v>
      </c>
      <c r="N66" s="148">
        <f t="shared" si="56"/>
        <v>0.9954635184</v>
      </c>
      <c r="O66" s="148">
        <f t="shared" si="57"/>
        <v>0.99552</v>
      </c>
      <c r="P66" s="148">
        <f t="shared" si="58"/>
        <v>0.89795904</v>
      </c>
      <c r="Q66" s="148">
        <f t="shared" si="59"/>
        <v>1.03448483695872</v>
      </c>
      <c r="R66" s="148">
        <f t="shared" si="61"/>
        <v>11.2972312353587</v>
      </c>
      <c r="S66" s="158"/>
      <c r="T66" s="20" t="s">
        <v>30</v>
      </c>
      <c r="XDY66" s="21"/>
      <c r="XDZ66" s="21"/>
      <c r="XEA66" s="21"/>
      <c r="XEB66" s="21"/>
      <c r="XEC66" s="21"/>
      <c r="XED66" s="21"/>
      <c r="XEE66" s="21"/>
      <c r="XEF66" s="21"/>
      <c r="XEG66" s="21"/>
      <c r="XEH66" s="21"/>
      <c r="XEI66" s="21"/>
      <c r="XEJ66" s="21"/>
      <c r="XEK66" s="21"/>
      <c r="XEL66" s="21"/>
      <c r="XEM66" s="21"/>
      <c r="XEN66" s="21"/>
      <c r="XEO66" s="21"/>
      <c r="XEP66" s="21"/>
      <c r="XEQ66" s="21"/>
      <c r="XER66" s="21"/>
      <c r="XES66" s="21"/>
      <c r="XET66" s="21"/>
      <c r="XEU66" s="21"/>
      <c r="XEV66" s="21"/>
      <c r="XEW66" s="21"/>
      <c r="XEX66" s="21"/>
      <c r="XEY66" s="21"/>
      <c r="XEZ66" s="21"/>
      <c r="XFA66" s="21"/>
      <c r="XFB66" s="21"/>
      <c r="XFC66" s="21"/>
      <c r="XFD66" s="21"/>
    </row>
    <row r="67" s="19" customFormat="1" ht="15.5" customHeight="1" spans="1:16384">
      <c r="A67" s="50">
        <v>4</v>
      </c>
      <c r="B67" s="162" t="s">
        <v>131</v>
      </c>
      <c r="C67" s="66" t="s">
        <v>132</v>
      </c>
      <c r="D67" s="50" t="s">
        <v>27</v>
      </c>
      <c r="E67" s="113">
        <f>(5.7*2+3.3*2+2.7*2+5*2+3*2+1.9*2+3.1*2+2.9*2+3.5*4+2.2*2+5.3*4+3.6*2+2.7+3.5+5.5*4+3.4+3.17+3.3*2+3.4*2+2.8*4+6.9*2+2.9*2+3.3+1.2*2)*0.12-(0.9*15*2)*0.12</f>
        <v>19.1604</v>
      </c>
      <c r="F67" s="114"/>
      <c r="G67" s="114"/>
      <c r="H67" s="112" t="s">
        <v>133</v>
      </c>
      <c r="I67" s="20">
        <f>(42.51)*0.002*110%</f>
        <v>0.093522</v>
      </c>
      <c r="J67" s="150">
        <f>(0.08)*0.002</f>
        <v>0.00016</v>
      </c>
      <c r="K67" s="153"/>
      <c r="L67" s="148">
        <f t="shared" si="54"/>
        <v>0.0213043116</v>
      </c>
      <c r="M67" s="148">
        <f t="shared" si="55"/>
        <v>0.0129153882</v>
      </c>
      <c r="N67" s="148">
        <f t="shared" si="56"/>
        <v>0.017266729473</v>
      </c>
      <c r="O67" s="148">
        <f t="shared" si="57"/>
        <v>0.0187044</v>
      </c>
      <c r="P67" s="148">
        <f t="shared" si="58"/>
        <v>0.0168713688</v>
      </c>
      <c r="Q67" s="148">
        <f t="shared" si="59"/>
        <v>0.0182190151657584</v>
      </c>
      <c r="R67" s="148">
        <f t="shared" si="61"/>
        <v>0.198963213238758</v>
      </c>
      <c r="S67" s="161">
        <f>R67+R68+R69</f>
        <v>62.3487871940766</v>
      </c>
      <c r="T67" s="20" t="s">
        <v>81</v>
      </c>
      <c r="XDY67" s="21"/>
      <c r="XDZ67" s="21"/>
      <c r="XEA67" s="21"/>
      <c r="XEB67" s="21"/>
      <c r="XEC67" s="21"/>
      <c r="XED67" s="21"/>
      <c r="XEE67" s="21"/>
      <c r="XEF67" s="21"/>
      <c r="XEG67" s="21"/>
      <c r="XEH67" s="21"/>
      <c r="XEI67" s="21"/>
      <c r="XEJ67" s="21"/>
      <c r="XEK67" s="21"/>
      <c r="XEL67" s="21"/>
      <c r="XEM67" s="21"/>
      <c r="XEN67" s="21"/>
      <c r="XEO67" s="21"/>
      <c r="XEP67" s="21"/>
      <c r="XEQ67" s="21"/>
      <c r="XER67" s="21"/>
      <c r="XES67" s="21"/>
      <c r="XET67" s="21"/>
      <c r="XEU67" s="21"/>
      <c r="XEV67" s="21"/>
      <c r="XEW67" s="21"/>
      <c r="XEX67" s="21"/>
      <c r="XEY67" s="21"/>
      <c r="XEZ67" s="21"/>
      <c r="XFA67" s="21"/>
      <c r="XFB67" s="21"/>
      <c r="XFC67" s="21"/>
      <c r="XFD67" s="21"/>
    </row>
    <row r="68" s="19" customFormat="1" ht="15.5" customHeight="1" spans="1:16384">
      <c r="A68" s="50"/>
      <c r="B68" s="162"/>
      <c r="C68" s="66"/>
      <c r="D68" s="50"/>
      <c r="E68" s="113"/>
      <c r="F68" s="114"/>
      <c r="G68" s="114"/>
      <c r="H68" s="112" t="s">
        <v>134</v>
      </c>
      <c r="I68" s="20">
        <f>6.4175*110%</f>
        <v>7.05925</v>
      </c>
      <c r="J68" s="150">
        <v>22.3831</v>
      </c>
      <c r="K68" s="153"/>
      <c r="L68" s="148">
        <f t="shared" si="54"/>
        <v>1.60809715</v>
      </c>
      <c r="M68" s="148">
        <f t="shared" si="55"/>
        <v>0.974882425</v>
      </c>
      <c r="N68" s="148">
        <f t="shared" si="56"/>
        <v>4.323419492625</v>
      </c>
      <c r="O68" s="148">
        <f t="shared" si="57"/>
        <v>1.41185</v>
      </c>
      <c r="P68" s="148">
        <f t="shared" si="58"/>
        <v>1.2734887</v>
      </c>
      <c r="Q68" s="148">
        <f t="shared" si="59"/>
        <v>3.9346360469766</v>
      </c>
      <c r="R68" s="148">
        <f t="shared" si="61"/>
        <v>42.9687238146016</v>
      </c>
      <c r="S68" s="161"/>
      <c r="T68" s="20" t="s">
        <v>135</v>
      </c>
      <c r="XDY68" s="21"/>
      <c r="XDZ68" s="21"/>
      <c r="XEA68" s="21"/>
      <c r="XEB68" s="21"/>
      <c r="XEC68" s="21"/>
      <c r="XED68" s="21"/>
      <c r="XEE68" s="21"/>
      <c r="XEF68" s="21"/>
      <c r="XEG68" s="21"/>
      <c r="XEH68" s="21"/>
      <c r="XEI68" s="21"/>
      <c r="XEJ68" s="21"/>
      <c r="XEK68" s="21"/>
      <c r="XEL68" s="21"/>
      <c r="XEM68" s="21"/>
      <c r="XEN68" s="21"/>
      <c r="XEO68" s="21"/>
      <c r="XEP68" s="21"/>
      <c r="XEQ68" s="21"/>
      <c r="XER68" s="21"/>
      <c r="XES68" s="21"/>
      <c r="XET68" s="21"/>
      <c r="XEU68" s="21"/>
      <c r="XEV68" s="21"/>
      <c r="XEW68" s="21"/>
      <c r="XEX68" s="21"/>
      <c r="XEY68" s="21"/>
      <c r="XEZ68" s="21"/>
      <c r="XFA68" s="21"/>
      <c r="XFB68" s="21"/>
      <c r="XFC68" s="21"/>
      <c r="XFD68" s="21"/>
    </row>
    <row r="69" s="19" customFormat="1" ht="15.5" customHeight="1" spans="1:16384">
      <c r="A69" s="50"/>
      <c r="B69" s="162"/>
      <c r="C69" s="66"/>
      <c r="D69" s="50"/>
      <c r="E69" s="113"/>
      <c r="F69" s="132"/>
      <c r="G69" s="132"/>
      <c r="H69" s="112" t="s">
        <v>136</v>
      </c>
      <c r="I69" s="20">
        <f>4.4821*110%</f>
        <v>4.93031</v>
      </c>
      <c r="J69" s="150">
        <v>6.9201</v>
      </c>
      <c r="K69" s="150">
        <v>0.0435</v>
      </c>
      <c r="L69" s="148">
        <f t="shared" si="54"/>
        <v>1.123917362</v>
      </c>
      <c r="M69" s="148">
        <f t="shared" si="55"/>
        <v>0.681356399</v>
      </c>
      <c r="N69" s="148">
        <f t="shared" si="56"/>
        <v>1.849389807735</v>
      </c>
      <c r="O69" s="148">
        <f t="shared" si="57"/>
        <v>0.986062</v>
      </c>
      <c r="P69" s="148">
        <f t="shared" si="58"/>
        <v>0.890055716</v>
      </c>
      <c r="Q69" s="148">
        <f t="shared" si="59"/>
        <v>1.75640888150129</v>
      </c>
      <c r="R69" s="148">
        <f t="shared" si="61"/>
        <v>19.1811001662363</v>
      </c>
      <c r="S69" s="161"/>
      <c r="T69" s="19" t="s">
        <v>137</v>
      </c>
      <c r="XDY69" s="21"/>
      <c r="XDZ69" s="21"/>
      <c r="XEA69" s="21"/>
      <c r="XEB69" s="21"/>
      <c r="XEC69" s="21"/>
      <c r="XED69" s="21"/>
      <c r="XEE69" s="21"/>
      <c r="XEF69" s="21"/>
      <c r="XEG69" s="21"/>
      <c r="XEH69" s="21"/>
      <c r="XEI69" s="21"/>
      <c r="XEJ69" s="21"/>
      <c r="XEK69" s="21"/>
      <c r="XEL69" s="21"/>
      <c r="XEM69" s="21"/>
      <c r="XEN69" s="21"/>
      <c r="XEO69" s="21"/>
      <c r="XEP69" s="21"/>
      <c r="XEQ69" s="21"/>
      <c r="XER69" s="21"/>
      <c r="XES69" s="21"/>
      <c r="XET69" s="21"/>
      <c r="XEU69" s="21"/>
      <c r="XEV69" s="21"/>
      <c r="XEW69" s="21"/>
      <c r="XEX69" s="21"/>
      <c r="XEY69" s="21"/>
      <c r="XEZ69" s="21"/>
      <c r="XFA69" s="21"/>
      <c r="XFB69" s="21"/>
      <c r="XFC69" s="21"/>
      <c r="XFD69" s="21"/>
    </row>
    <row r="70" s="19" customFormat="1" ht="22.5" customHeight="1" spans="1:16384">
      <c r="A70" s="51">
        <v>5</v>
      </c>
      <c r="B70" s="53" t="s">
        <v>138</v>
      </c>
      <c r="C70" s="72" t="s">
        <v>139</v>
      </c>
      <c r="D70" s="50" t="s">
        <v>27</v>
      </c>
      <c r="E70" s="115">
        <f>0.3*0.9*6+1.5*1.8*7</f>
        <v>20.52</v>
      </c>
      <c r="F70" s="191"/>
      <c r="G70" s="191"/>
      <c r="H70" s="112" t="s">
        <v>140</v>
      </c>
      <c r="I70" s="20">
        <f>(42.51+0.02*10.5)*0.02*110%</f>
        <v>0.93984</v>
      </c>
      <c r="J70" s="150">
        <f>(0.08+0.02*10.5)*0.02</f>
        <v>0.0058</v>
      </c>
      <c r="K70" s="150">
        <v>0.0796</v>
      </c>
      <c r="L70" s="148">
        <f t="shared" si="54"/>
        <v>0.2155461824</v>
      </c>
      <c r="M70" s="148">
        <f t="shared" si="55"/>
        <v>0.1306713248</v>
      </c>
      <c r="N70" s="148">
        <f t="shared" si="56"/>
        <v>0.185146763472</v>
      </c>
      <c r="O70" s="148">
        <f t="shared" si="57"/>
        <v>0.187968</v>
      </c>
      <c r="P70" s="148">
        <f t="shared" si="58"/>
        <v>0.1706959232</v>
      </c>
      <c r="Q70" s="148">
        <f t="shared" si="59"/>
        <v>0.193059033942298</v>
      </c>
      <c r="R70" s="148">
        <f t="shared" si="61"/>
        <v>2.1083272278143</v>
      </c>
      <c r="S70" s="155">
        <f>R70+R71</f>
        <v>262.310936334801</v>
      </c>
      <c r="T70" s="159" t="s">
        <v>141</v>
      </c>
      <c r="XDY70" s="21"/>
      <c r="XDZ70" s="21"/>
      <c r="XEA70" s="21"/>
      <c r="XEB70" s="21"/>
      <c r="XEC70" s="21"/>
      <c r="XED70" s="21"/>
      <c r="XEE70" s="21"/>
      <c r="XEF70" s="21"/>
      <c r="XEG70" s="21"/>
      <c r="XEH70" s="21"/>
      <c r="XEI70" s="21"/>
      <c r="XEJ70" s="21"/>
      <c r="XEK70" s="21"/>
      <c r="XEL70" s="21"/>
      <c r="XEM70" s="21"/>
      <c r="XEN70" s="21"/>
      <c r="XEO70" s="21"/>
      <c r="XEP70" s="21"/>
      <c r="XEQ70" s="21"/>
      <c r="XER70" s="21"/>
      <c r="XES70" s="21"/>
      <c r="XET70" s="21"/>
      <c r="XEU70" s="21"/>
      <c r="XEV70" s="21"/>
      <c r="XEW70" s="21"/>
      <c r="XEX70" s="21"/>
      <c r="XEY70" s="21"/>
      <c r="XEZ70" s="21"/>
      <c r="XFA70" s="21"/>
      <c r="XFB70" s="21"/>
      <c r="XFC70" s="21"/>
      <c r="XFD70" s="21"/>
    </row>
    <row r="71" s="19" customFormat="1" ht="22.5" customHeight="1" spans="1:16384">
      <c r="A71" s="51"/>
      <c r="B71" s="53"/>
      <c r="C71" s="72"/>
      <c r="D71" s="50"/>
      <c r="E71" s="115"/>
      <c r="F71" s="191"/>
      <c r="G71" s="191"/>
      <c r="H71" s="112" t="s">
        <v>142</v>
      </c>
      <c r="I71" s="20">
        <f>38.5033*110%</f>
        <v>42.35363</v>
      </c>
      <c r="J71" s="155">
        <v>136.2149</v>
      </c>
      <c r="K71" s="150"/>
      <c r="L71" s="148">
        <f t="shared" ref="L71:L83" si="62">(I71+K71*8%)*22.78%</f>
        <v>9.648156914</v>
      </c>
      <c r="M71" s="148">
        <f t="shared" ref="M71:M83" si="63">(I71+K71*8%)*13.81%</f>
        <v>5.849036303</v>
      </c>
      <c r="N71" s="148">
        <f t="shared" si="56"/>
        <v>26.198872634295</v>
      </c>
      <c r="O71" s="148">
        <f t="shared" ref="O71:O83" si="64">I71*20%</f>
        <v>8.470726</v>
      </c>
      <c r="P71" s="148">
        <f t="shared" ref="P71:P83" si="65">(I71+K71*8%)*18.04%</f>
        <v>7.640594852</v>
      </c>
      <c r="Q71" s="148">
        <f t="shared" ref="Q71:Q83" si="66">(I71+J71+K71+L71+M71+N71+O71+P71)*9%*(1+12%)</f>
        <v>23.8266924036921</v>
      </c>
      <c r="R71" s="148">
        <f t="shared" ref="R71:R83" si="67">I71+J71+K71+L71+M71+N71+O71+P71+Q71</f>
        <v>260.202609106987</v>
      </c>
      <c r="S71" s="155"/>
      <c r="T71" s="159" t="s">
        <v>143</v>
      </c>
      <c r="XDY71" s="21"/>
      <c r="XDZ71" s="21"/>
      <c r="XEA71" s="21"/>
      <c r="XEB71" s="21"/>
      <c r="XEC71" s="21"/>
      <c r="XED71" s="21"/>
      <c r="XEE71" s="21"/>
      <c r="XEF71" s="21"/>
      <c r="XEG71" s="21"/>
      <c r="XEH71" s="21"/>
      <c r="XEI71" s="21"/>
      <c r="XEJ71" s="21"/>
      <c r="XEK71" s="21"/>
      <c r="XEL71" s="21"/>
      <c r="XEM71" s="21"/>
      <c r="XEN71" s="21"/>
      <c r="XEO71" s="21"/>
      <c r="XEP71" s="21"/>
      <c r="XEQ71" s="21"/>
      <c r="XER71" s="21"/>
      <c r="XES71" s="21"/>
      <c r="XET71" s="21"/>
      <c r="XEU71" s="21"/>
      <c r="XEV71" s="21"/>
      <c r="XEW71" s="21"/>
      <c r="XEX71" s="21"/>
      <c r="XEY71" s="21"/>
      <c r="XEZ71" s="21"/>
      <c r="XFA71" s="21"/>
      <c r="XFB71" s="21"/>
      <c r="XFC71" s="21"/>
      <c r="XFD71" s="21"/>
    </row>
    <row r="72" s="19" customFormat="1" ht="15" customHeight="1" spans="1:16384">
      <c r="A72" s="51">
        <v>6</v>
      </c>
      <c r="B72" s="100" t="s">
        <v>144</v>
      </c>
      <c r="C72" s="59" t="s">
        <v>145</v>
      </c>
      <c r="D72" s="61" t="s">
        <v>27</v>
      </c>
      <c r="E72" s="192">
        <f>3.2*3.6*3+5.7*3.6*6+2.7*3.6*2+3.6*7.1+3.3*5.7+5.7*6.74+2.7*5.7+6.9*3.6*2+2.4*3.6*2+2.4*6.9+(2.4*6.9+3.9*3.3*2+2.4*3.3*2+3.17*3.3*3+5.5*3.3*2+3.75*3.3*2+3.3*3.3*2+3.4*3.3*2+3.7*3.3*2+8.3*3.3*2+2.8*3.3*2+7*3.3*2+2.9*3.3*2+3.3*3.3*2.1+1.2*2.1*2+96)</f>
        <v>840.54</v>
      </c>
      <c r="F72" s="114"/>
      <c r="G72" s="114"/>
      <c r="H72" s="112" t="s">
        <v>146</v>
      </c>
      <c r="I72" s="20">
        <f>(42.51+0.02*10.75)*0.02*110%</f>
        <v>0.93995</v>
      </c>
      <c r="J72" s="150">
        <f>(0.08+0.02*10.75)*0.02</f>
        <v>0.0059</v>
      </c>
      <c r="K72" s="153"/>
      <c r="L72" s="148">
        <f t="shared" si="62"/>
        <v>0.21412061</v>
      </c>
      <c r="M72" s="148">
        <f t="shared" si="63"/>
        <v>0.129807095</v>
      </c>
      <c r="N72" s="148">
        <f t="shared" si="56"/>
        <v>0.174119990175</v>
      </c>
      <c r="O72" s="148">
        <f t="shared" si="64"/>
        <v>0.18799</v>
      </c>
      <c r="P72" s="148">
        <f t="shared" si="65"/>
        <v>0.16956698</v>
      </c>
      <c r="Q72" s="148">
        <f t="shared" si="66"/>
        <v>0.18360263125764</v>
      </c>
      <c r="R72" s="148">
        <f t="shared" si="67"/>
        <v>2.00505730643264</v>
      </c>
      <c r="S72" s="21">
        <f>R72+R73+R74</f>
        <v>54.9229062959348</v>
      </c>
      <c r="T72" s="20" t="s">
        <v>81</v>
      </c>
      <c r="XDY72" s="21"/>
      <c r="XDZ72" s="21"/>
      <c r="XEA72" s="21"/>
      <c r="XEB72" s="21"/>
      <c r="XEC72" s="21"/>
      <c r="XED72" s="21"/>
      <c r="XEE72" s="21"/>
      <c r="XEF72" s="21"/>
      <c r="XEG72" s="21"/>
      <c r="XEH72" s="21"/>
      <c r="XEI72" s="21"/>
      <c r="XEJ72" s="21"/>
      <c r="XEK72" s="21"/>
      <c r="XEL72" s="21"/>
      <c r="XEM72" s="21"/>
      <c r="XEN72" s="21"/>
      <c r="XEO72" s="21"/>
      <c r="XEP72" s="21"/>
      <c r="XEQ72" s="21"/>
      <c r="XER72" s="21"/>
      <c r="XES72" s="21"/>
      <c r="XET72" s="21"/>
      <c r="XEU72" s="21"/>
      <c r="XEV72" s="21"/>
      <c r="XEW72" s="21"/>
      <c r="XEX72" s="21"/>
      <c r="XEY72" s="21"/>
      <c r="XEZ72" s="21"/>
      <c r="XFA72" s="21"/>
      <c r="XFB72" s="21"/>
      <c r="XFC72" s="21"/>
      <c r="XFD72" s="21"/>
    </row>
    <row r="73" s="19" customFormat="1" ht="15" customHeight="1" spans="1:16384">
      <c r="A73" s="51"/>
      <c r="B73" s="100"/>
      <c r="C73" s="59"/>
      <c r="D73" s="61"/>
      <c r="E73" s="192"/>
      <c r="F73" s="114"/>
      <c r="G73" s="114"/>
      <c r="H73" s="112" t="s">
        <v>147</v>
      </c>
      <c r="I73" s="20">
        <f>3.6293*110%</f>
        <v>3.99223</v>
      </c>
      <c r="J73" s="152">
        <v>0.4757</v>
      </c>
      <c r="K73" s="153">
        <v>0.0975</v>
      </c>
      <c r="L73" s="148">
        <f t="shared" si="62"/>
        <v>0.911206834</v>
      </c>
      <c r="M73" s="148">
        <f t="shared" si="63"/>
        <v>0.552404143</v>
      </c>
      <c r="N73" s="148">
        <f t="shared" si="56"/>
        <v>0.813920531895</v>
      </c>
      <c r="O73" s="148">
        <f t="shared" si="64"/>
        <v>0.798446</v>
      </c>
      <c r="P73" s="148">
        <f t="shared" si="65"/>
        <v>0.721605412</v>
      </c>
      <c r="Q73" s="148">
        <f t="shared" si="66"/>
        <v>0.842991702426216</v>
      </c>
      <c r="R73" s="148">
        <f t="shared" si="67"/>
        <v>9.20600462332122</v>
      </c>
      <c r="S73" s="21"/>
      <c r="T73" s="20" t="s">
        <v>148</v>
      </c>
      <c r="XDY73" s="21"/>
      <c r="XDZ73" s="21"/>
      <c r="XEA73" s="21"/>
      <c r="XEB73" s="21"/>
      <c r="XEC73" s="21"/>
      <c r="XED73" s="21"/>
      <c r="XEE73" s="21"/>
      <c r="XEF73" s="21"/>
      <c r="XEG73" s="21"/>
      <c r="XEH73" s="21"/>
      <c r="XEI73" s="21"/>
      <c r="XEJ73" s="21"/>
      <c r="XEK73" s="21"/>
      <c r="XEL73" s="21"/>
      <c r="XEM73" s="21"/>
      <c r="XEN73" s="21"/>
      <c r="XEO73" s="21"/>
      <c r="XEP73" s="21"/>
      <c r="XEQ73" s="21"/>
      <c r="XER73" s="21"/>
      <c r="XES73" s="21"/>
      <c r="XET73" s="21"/>
      <c r="XEU73" s="21"/>
      <c r="XEV73" s="21"/>
      <c r="XEW73" s="21"/>
      <c r="XEX73" s="21"/>
      <c r="XEY73" s="21"/>
      <c r="XEZ73" s="21"/>
      <c r="XFA73" s="21"/>
      <c r="XFB73" s="21"/>
      <c r="XFC73" s="21"/>
      <c r="XFD73" s="21"/>
    </row>
    <row r="74" s="19" customFormat="1" ht="15" customHeight="1" spans="1:16384">
      <c r="A74" s="51"/>
      <c r="B74" s="102"/>
      <c r="C74" s="67"/>
      <c r="D74" s="61"/>
      <c r="E74" s="193"/>
      <c r="F74" s="132"/>
      <c r="G74" s="132"/>
      <c r="H74" s="144" t="s">
        <v>149</v>
      </c>
      <c r="I74" s="154">
        <f>14.7101*110%</f>
        <v>16.18111</v>
      </c>
      <c r="J74" s="151">
        <v>7.4611</v>
      </c>
      <c r="K74" s="151"/>
      <c r="L74" s="148">
        <f t="shared" si="62"/>
        <v>3.686056858</v>
      </c>
      <c r="M74" s="148">
        <f t="shared" si="63"/>
        <v>2.234611291</v>
      </c>
      <c r="N74" s="148">
        <f t="shared" si="56"/>
        <v>3.990988550115</v>
      </c>
      <c r="O74" s="148">
        <f t="shared" si="64"/>
        <v>3.236222</v>
      </c>
      <c r="P74" s="148">
        <f t="shared" si="65"/>
        <v>2.919072244</v>
      </c>
      <c r="Q74" s="148">
        <f t="shared" si="66"/>
        <v>4.00268342306599</v>
      </c>
      <c r="R74" s="148">
        <f t="shared" si="67"/>
        <v>43.711844366181</v>
      </c>
      <c r="S74" s="21"/>
      <c r="T74" s="20"/>
      <c r="XDY74" s="21"/>
      <c r="XDZ74" s="21"/>
      <c r="XEA74" s="21"/>
      <c r="XEB74" s="21"/>
      <c r="XEC74" s="21"/>
      <c r="XED74" s="21"/>
      <c r="XEE74" s="21"/>
      <c r="XEF74" s="21"/>
      <c r="XEG74" s="21"/>
      <c r="XEH74" s="21"/>
      <c r="XEI74" s="21"/>
      <c r="XEJ74" s="21"/>
      <c r="XEK74" s="21"/>
      <c r="XEL74" s="21"/>
      <c r="XEM74" s="21"/>
      <c r="XEN74" s="21"/>
      <c r="XEO74" s="21"/>
      <c r="XEP74" s="21"/>
      <c r="XEQ74" s="21"/>
      <c r="XER74" s="21"/>
      <c r="XES74" s="21"/>
      <c r="XET74" s="21"/>
      <c r="XEU74" s="21"/>
      <c r="XEV74" s="21"/>
      <c r="XEW74" s="21"/>
      <c r="XEX74" s="21"/>
      <c r="XEY74" s="21"/>
      <c r="XEZ74" s="21"/>
      <c r="XFA74" s="21"/>
      <c r="XFB74" s="21"/>
      <c r="XFC74" s="21"/>
      <c r="XFD74" s="21"/>
    </row>
    <row r="75" s="19" customFormat="1" ht="15" customHeight="1" spans="1:16384">
      <c r="A75" s="51">
        <v>7</v>
      </c>
      <c r="B75" s="163" t="s">
        <v>150</v>
      </c>
      <c r="C75" s="164" t="s">
        <v>151</v>
      </c>
      <c r="D75" s="42" t="s">
        <v>27</v>
      </c>
      <c r="E75" s="192">
        <f>E72</f>
        <v>840.54</v>
      </c>
      <c r="F75" s="111"/>
      <c r="G75" s="111"/>
      <c r="H75" s="144" t="s">
        <v>152</v>
      </c>
      <c r="I75" s="154">
        <f>11.2571*110%</f>
        <v>12.38281</v>
      </c>
      <c r="J75" s="151">
        <v>2.3325</v>
      </c>
      <c r="K75" s="151"/>
      <c r="L75" s="148">
        <f t="shared" si="62"/>
        <v>2.820804118</v>
      </c>
      <c r="M75" s="148">
        <f t="shared" si="63"/>
        <v>1.710066061</v>
      </c>
      <c r="N75" s="148">
        <f t="shared" si="56"/>
        <v>2.598234324165</v>
      </c>
      <c r="O75" s="148">
        <f t="shared" si="64"/>
        <v>2.476562</v>
      </c>
      <c r="P75" s="148">
        <f t="shared" si="65"/>
        <v>2.233858924</v>
      </c>
      <c r="Q75" s="148">
        <f t="shared" si="66"/>
        <v>2.67672741105823</v>
      </c>
      <c r="R75" s="148">
        <f t="shared" si="67"/>
        <v>29.2315628382232</v>
      </c>
      <c r="S75" s="161">
        <f>R75+R76+R77</f>
        <v>40.4426247679771</v>
      </c>
      <c r="T75" s="20"/>
      <c r="XDY75" s="21"/>
      <c r="XDZ75" s="21"/>
      <c r="XEA75" s="21"/>
      <c r="XEB75" s="21"/>
      <c r="XEC75" s="21"/>
      <c r="XED75" s="21"/>
      <c r="XEE75" s="21"/>
      <c r="XEF75" s="21"/>
      <c r="XEG75" s="21"/>
      <c r="XEH75" s="21"/>
      <c r="XEI75" s="21"/>
      <c r="XEJ75" s="21"/>
      <c r="XEK75" s="21"/>
      <c r="XEL75" s="21"/>
      <c r="XEM75" s="21"/>
      <c r="XEN75" s="21"/>
      <c r="XEO75" s="21"/>
      <c r="XEP75" s="21"/>
      <c r="XEQ75" s="21"/>
      <c r="XER75" s="21"/>
      <c r="XES75" s="21"/>
      <c r="XET75" s="21"/>
      <c r="XEU75" s="21"/>
      <c r="XEV75" s="21"/>
      <c r="XEW75" s="21"/>
      <c r="XEX75" s="21"/>
      <c r="XEY75" s="21"/>
      <c r="XEZ75" s="21"/>
      <c r="XFA75" s="21"/>
      <c r="XFB75" s="21"/>
      <c r="XFC75" s="21"/>
      <c r="XFD75" s="21"/>
    </row>
    <row r="76" s="19" customFormat="1" ht="15" customHeight="1" spans="1:16384">
      <c r="A76" s="51"/>
      <c r="B76" s="58"/>
      <c r="C76" s="59"/>
      <c r="D76" s="45"/>
      <c r="E76" s="192"/>
      <c r="F76" s="114"/>
      <c r="G76" s="114"/>
      <c r="H76" s="112" t="s">
        <v>146</v>
      </c>
      <c r="I76" s="20">
        <f>(42.51+0.02*10.75)*0.02*110%</f>
        <v>0.93995</v>
      </c>
      <c r="J76" s="150">
        <f>(0.08+0.02*10.75)*0.02</f>
        <v>0.0059</v>
      </c>
      <c r="K76" s="153"/>
      <c r="L76" s="148">
        <f t="shared" si="62"/>
        <v>0.21412061</v>
      </c>
      <c r="M76" s="148">
        <f t="shared" si="63"/>
        <v>0.129807095</v>
      </c>
      <c r="N76" s="148">
        <f t="shared" si="56"/>
        <v>0.174119990175</v>
      </c>
      <c r="O76" s="148">
        <f t="shared" si="64"/>
        <v>0.18799</v>
      </c>
      <c r="P76" s="148">
        <f t="shared" si="65"/>
        <v>0.16956698</v>
      </c>
      <c r="Q76" s="148">
        <f t="shared" si="66"/>
        <v>0.18360263125764</v>
      </c>
      <c r="R76" s="148">
        <f t="shared" si="67"/>
        <v>2.00505730643264</v>
      </c>
      <c r="S76" s="161"/>
      <c r="T76" s="20" t="s">
        <v>81</v>
      </c>
      <c r="XDY76" s="21"/>
      <c r="XDZ76" s="21"/>
      <c r="XEA76" s="21"/>
      <c r="XEB76" s="21"/>
      <c r="XEC76" s="21"/>
      <c r="XED76" s="21"/>
      <c r="XEE76" s="21"/>
      <c r="XEF76" s="21"/>
      <c r="XEG76" s="21"/>
      <c r="XEH76" s="21"/>
      <c r="XEI76" s="21"/>
      <c r="XEJ76" s="21"/>
      <c r="XEK76" s="21"/>
      <c r="XEL76" s="21"/>
      <c r="XEM76" s="21"/>
      <c r="XEN76" s="21"/>
      <c r="XEO76" s="21"/>
      <c r="XEP76" s="21"/>
      <c r="XEQ76" s="21"/>
      <c r="XER76" s="21"/>
      <c r="XES76" s="21"/>
      <c r="XET76" s="21"/>
      <c r="XEU76" s="21"/>
      <c r="XEV76" s="21"/>
      <c r="XEW76" s="21"/>
      <c r="XEX76" s="21"/>
      <c r="XEY76" s="21"/>
      <c r="XEZ76" s="21"/>
      <c r="XFA76" s="21"/>
      <c r="XFB76" s="21"/>
      <c r="XFC76" s="21"/>
      <c r="XFD76" s="21"/>
    </row>
    <row r="77" s="19" customFormat="1" ht="15" customHeight="1" spans="1:16384">
      <c r="A77" s="51"/>
      <c r="B77" s="58"/>
      <c r="C77" s="59"/>
      <c r="D77" s="45"/>
      <c r="E77" s="193"/>
      <c r="F77" s="114"/>
      <c r="G77" s="132"/>
      <c r="H77" s="112" t="s">
        <v>147</v>
      </c>
      <c r="I77" s="20">
        <f>3.6293*110%</f>
        <v>3.99223</v>
      </c>
      <c r="J77" s="152">
        <v>0.4757</v>
      </c>
      <c r="K77" s="153">
        <v>0.0975</v>
      </c>
      <c r="L77" s="148">
        <f t="shared" si="62"/>
        <v>0.911206834</v>
      </c>
      <c r="M77" s="148">
        <f t="shared" si="63"/>
        <v>0.552404143</v>
      </c>
      <c r="N77" s="148">
        <f t="shared" si="56"/>
        <v>0.813920531895</v>
      </c>
      <c r="O77" s="148">
        <f t="shared" si="64"/>
        <v>0.798446</v>
      </c>
      <c r="P77" s="148">
        <f t="shared" si="65"/>
        <v>0.721605412</v>
      </c>
      <c r="Q77" s="148">
        <f t="shared" si="66"/>
        <v>0.842991702426216</v>
      </c>
      <c r="R77" s="148">
        <f t="shared" si="67"/>
        <v>9.20600462332122</v>
      </c>
      <c r="S77" s="161"/>
      <c r="T77" s="20" t="s">
        <v>148</v>
      </c>
      <c r="XDY77" s="21"/>
      <c r="XDZ77" s="21"/>
      <c r="XEA77" s="21"/>
      <c r="XEB77" s="21"/>
      <c r="XEC77" s="21"/>
      <c r="XED77" s="21"/>
      <c r="XEE77" s="21"/>
      <c r="XEF77" s="21"/>
      <c r="XEG77" s="21"/>
      <c r="XEH77" s="21"/>
      <c r="XEI77" s="21"/>
      <c r="XEJ77" s="21"/>
      <c r="XEK77" s="21"/>
      <c r="XEL77" s="21"/>
      <c r="XEM77" s="21"/>
      <c r="XEN77" s="21"/>
      <c r="XEO77" s="21"/>
      <c r="XEP77" s="21"/>
      <c r="XEQ77" s="21"/>
      <c r="XER77" s="21"/>
      <c r="XES77" s="21"/>
      <c r="XET77" s="21"/>
      <c r="XEU77" s="21"/>
      <c r="XEV77" s="21"/>
      <c r="XEW77" s="21"/>
      <c r="XEX77" s="21"/>
      <c r="XEY77" s="21"/>
      <c r="XEZ77" s="21"/>
      <c r="XFA77" s="21"/>
      <c r="XFB77" s="21"/>
      <c r="XFC77" s="21"/>
      <c r="XFD77" s="21"/>
    </row>
    <row r="78" s="21" customFormat="1" ht="22.5" customHeight="1" spans="1:2575">
      <c r="A78" s="50">
        <v>8</v>
      </c>
      <c r="B78" s="98" t="s">
        <v>153</v>
      </c>
      <c r="C78" s="99" t="s">
        <v>154</v>
      </c>
      <c r="D78" s="165" t="s">
        <v>27</v>
      </c>
      <c r="E78" s="115">
        <f>3.5*5.7+2.7*5.7+1.9*2.8</f>
        <v>40.66</v>
      </c>
      <c r="F78" s="111"/>
      <c r="G78" s="111"/>
      <c r="H78" s="112" t="s">
        <v>97</v>
      </c>
      <c r="I78" s="20">
        <f>4.9876</f>
        <v>4.9876</v>
      </c>
      <c r="J78" s="150">
        <v>0.5749</v>
      </c>
      <c r="K78" s="150">
        <v>0.5996</v>
      </c>
      <c r="L78" s="148">
        <f t="shared" si="62"/>
        <v>1.1471023904</v>
      </c>
      <c r="M78" s="148">
        <f t="shared" si="63"/>
        <v>0.6954119408</v>
      </c>
      <c r="N78" s="148">
        <f t="shared" si="56"/>
        <v>1.080622934712</v>
      </c>
      <c r="O78" s="148">
        <f t="shared" si="64"/>
        <v>0.99752</v>
      </c>
      <c r="P78" s="148">
        <f t="shared" si="65"/>
        <v>0.9084164672</v>
      </c>
      <c r="Q78" s="148">
        <f t="shared" si="66"/>
        <v>1.10791031229769</v>
      </c>
      <c r="R78" s="148">
        <f t="shared" si="67"/>
        <v>12.0990840454097</v>
      </c>
      <c r="S78" s="21">
        <f>R78+R79+R80</f>
        <v>191.666325386544</v>
      </c>
      <c r="T78" s="19" t="s">
        <v>30</v>
      </c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  <c r="IG78" s="19"/>
      <c r="IH78" s="19"/>
      <c r="II78" s="19"/>
      <c r="IJ78" s="19"/>
      <c r="IK78" s="19"/>
      <c r="IL78" s="19"/>
      <c r="IM78" s="19"/>
      <c r="IN78" s="19"/>
      <c r="IO78" s="19"/>
      <c r="IP78" s="19"/>
      <c r="IQ78" s="19"/>
      <c r="IR78" s="19"/>
      <c r="IS78" s="19"/>
      <c r="IT78" s="19"/>
      <c r="IU78" s="19"/>
      <c r="IV78" s="19"/>
      <c r="IW78" s="19"/>
      <c r="IX78" s="19"/>
      <c r="IY78" s="19"/>
      <c r="IZ78" s="19"/>
      <c r="JA78" s="19"/>
      <c r="JB78" s="19"/>
      <c r="JC78" s="19"/>
      <c r="JD78" s="19"/>
      <c r="JE78" s="19"/>
      <c r="JF78" s="19"/>
      <c r="JG78" s="19"/>
      <c r="JH78" s="19"/>
      <c r="JI78" s="19"/>
      <c r="JJ78" s="19"/>
      <c r="JK78" s="19"/>
      <c r="JL78" s="19"/>
      <c r="JM78" s="19"/>
      <c r="JN78" s="19"/>
      <c r="JO78" s="19"/>
      <c r="JP78" s="19"/>
      <c r="JQ78" s="19"/>
      <c r="JR78" s="19"/>
      <c r="JS78" s="19"/>
      <c r="JT78" s="19"/>
      <c r="JU78" s="19"/>
      <c r="JV78" s="19"/>
      <c r="JW78" s="19"/>
      <c r="JX78" s="19"/>
      <c r="JY78" s="19"/>
      <c r="JZ78" s="19"/>
      <c r="KA78" s="19"/>
      <c r="KB78" s="19"/>
      <c r="KC78" s="19"/>
      <c r="KD78" s="19"/>
      <c r="KE78" s="19"/>
      <c r="KF78" s="19"/>
      <c r="KG78" s="19"/>
      <c r="KH78" s="19"/>
      <c r="KI78" s="19"/>
      <c r="KJ78" s="19"/>
      <c r="KK78" s="19"/>
      <c r="KL78" s="19"/>
      <c r="KM78" s="19"/>
      <c r="KN78" s="19"/>
      <c r="KO78" s="19"/>
      <c r="KP78" s="19"/>
      <c r="KQ78" s="19"/>
      <c r="KR78" s="19"/>
      <c r="KS78" s="19"/>
      <c r="KT78" s="19"/>
      <c r="KU78" s="19"/>
      <c r="KV78" s="19"/>
      <c r="KW78" s="19"/>
      <c r="KX78" s="19"/>
      <c r="KY78" s="19"/>
      <c r="KZ78" s="19"/>
      <c r="LA78" s="19"/>
      <c r="LB78" s="19"/>
      <c r="LC78" s="19"/>
      <c r="LD78" s="19"/>
      <c r="LE78" s="19"/>
      <c r="LF78" s="19"/>
      <c r="LG78" s="19"/>
      <c r="LH78" s="19"/>
      <c r="LI78" s="19"/>
      <c r="LJ78" s="19"/>
      <c r="LK78" s="19"/>
      <c r="LL78" s="19"/>
      <c r="LM78" s="19"/>
      <c r="LN78" s="19"/>
      <c r="LO78" s="19"/>
      <c r="LP78" s="19"/>
      <c r="LQ78" s="19"/>
      <c r="LR78" s="19"/>
      <c r="LS78" s="19"/>
      <c r="LT78" s="19"/>
      <c r="LU78" s="19"/>
      <c r="LV78" s="19"/>
      <c r="LW78" s="19"/>
      <c r="LX78" s="19"/>
      <c r="LY78" s="19"/>
      <c r="LZ78" s="19"/>
      <c r="MA78" s="19"/>
      <c r="MB78" s="19"/>
      <c r="MC78" s="19"/>
      <c r="MD78" s="19"/>
      <c r="ME78" s="19"/>
      <c r="MF78" s="19"/>
      <c r="MG78" s="19"/>
      <c r="MH78" s="19"/>
      <c r="MI78" s="19"/>
      <c r="MJ78" s="19"/>
      <c r="MK78" s="19"/>
      <c r="ML78" s="19"/>
      <c r="MM78" s="19"/>
      <c r="MN78" s="19"/>
      <c r="MO78" s="19"/>
      <c r="MP78" s="19"/>
      <c r="MQ78" s="19"/>
      <c r="MR78" s="19"/>
      <c r="MS78" s="19"/>
      <c r="MT78" s="19"/>
      <c r="MU78" s="19"/>
      <c r="MV78" s="19"/>
      <c r="MW78" s="19"/>
      <c r="MX78" s="19"/>
      <c r="MY78" s="19"/>
      <c r="MZ78" s="19"/>
      <c r="NA78" s="19"/>
      <c r="NB78" s="19"/>
      <c r="NC78" s="19"/>
      <c r="ND78" s="19"/>
      <c r="NE78" s="19"/>
      <c r="NF78" s="19"/>
      <c r="NG78" s="19"/>
      <c r="NH78" s="19"/>
      <c r="NI78" s="19"/>
      <c r="NJ78" s="19"/>
      <c r="NK78" s="19"/>
      <c r="NL78" s="19"/>
      <c r="NM78" s="19"/>
      <c r="NN78" s="19"/>
      <c r="NO78" s="19"/>
      <c r="NP78" s="19"/>
      <c r="NQ78" s="19"/>
      <c r="NR78" s="19"/>
      <c r="NS78" s="19"/>
      <c r="NT78" s="19"/>
      <c r="NU78" s="19"/>
      <c r="NV78" s="19"/>
      <c r="NW78" s="19"/>
      <c r="NX78" s="19"/>
      <c r="NY78" s="19"/>
      <c r="NZ78" s="19"/>
      <c r="OA78" s="19"/>
      <c r="OB78" s="19"/>
      <c r="OC78" s="19"/>
      <c r="OD78" s="19"/>
      <c r="OE78" s="19"/>
      <c r="OF78" s="19"/>
      <c r="OG78" s="19"/>
      <c r="OH78" s="19"/>
      <c r="OI78" s="19"/>
      <c r="OJ78" s="19"/>
      <c r="OK78" s="19"/>
      <c r="OL78" s="19"/>
      <c r="OM78" s="19"/>
      <c r="ON78" s="19"/>
      <c r="OO78" s="19"/>
      <c r="OP78" s="19"/>
      <c r="OQ78" s="19"/>
      <c r="OR78" s="19"/>
      <c r="OS78" s="19"/>
      <c r="OT78" s="19"/>
      <c r="OU78" s="19"/>
      <c r="OV78" s="19"/>
      <c r="OW78" s="19"/>
      <c r="OX78" s="19"/>
      <c r="OY78" s="19"/>
      <c r="OZ78" s="19"/>
      <c r="PA78" s="19"/>
      <c r="PB78" s="19"/>
      <c r="PC78" s="19"/>
      <c r="PD78" s="19"/>
      <c r="PE78" s="19"/>
      <c r="PF78" s="19"/>
      <c r="PG78" s="19"/>
      <c r="PH78" s="19"/>
      <c r="PI78" s="19"/>
      <c r="PJ78" s="19"/>
      <c r="PK78" s="19"/>
      <c r="PL78" s="19"/>
      <c r="PM78" s="19"/>
      <c r="PN78" s="19"/>
      <c r="PO78" s="19"/>
      <c r="PP78" s="19"/>
      <c r="PQ78" s="19"/>
      <c r="PR78" s="19"/>
      <c r="PS78" s="19"/>
      <c r="PT78" s="19"/>
      <c r="PU78" s="19"/>
      <c r="PV78" s="19"/>
      <c r="PW78" s="19"/>
      <c r="PX78" s="19"/>
      <c r="PY78" s="19"/>
      <c r="PZ78" s="19"/>
      <c r="QA78" s="19"/>
      <c r="QB78" s="19"/>
      <c r="QC78" s="19"/>
      <c r="QD78" s="19"/>
      <c r="QE78" s="19"/>
      <c r="QF78" s="19"/>
      <c r="QG78" s="19"/>
      <c r="QH78" s="19"/>
      <c r="QI78" s="19"/>
      <c r="QJ78" s="19"/>
      <c r="QK78" s="19"/>
      <c r="QL78" s="19"/>
      <c r="QM78" s="19"/>
      <c r="QN78" s="19"/>
      <c r="QO78" s="19"/>
      <c r="QP78" s="19"/>
      <c r="QQ78" s="19"/>
      <c r="QR78" s="19"/>
      <c r="QS78" s="19"/>
      <c r="QT78" s="19"/>
      <c r="QU78" s="19"/>
      <c r="QV78" s="19"/>
      <c r="QW78" s="19"/>
      <c r="QX78" s="19"/>
      <c r="QY78" s="19"/>
      <c r="QZ78" s="19"/>
      <c r="RA78" s="19"/>
      <c r="RB78" s="19"/>
      <c r="RC78" s="19"/>
      <c r="RD78" s="19"/>
      <c r="RE78" s="19"/>
      <c r="RF78" s="19"/>
      <c r="RG78" s="19"/>
      <c r="RH78" s="19"/>
      <c r="RI78" s="19"/>
      <c r="RJ78" s="19"/>
      <c r="RK78" s="19"/>
      <c r="RL78" s="19"/>
      <c r="RM78" s="19"/>
      <c r="RN78" s="19"/>
      <c r="RO78" s="19"/>
      <c r="RP78" s="19"/>
      <c r="RQ78" s="19"/>
      <c r="RR78" s="19"/>
      <c r="RS78" s="19"/>
      <c r="RT78" s="19"/>
      <c r="RU78" s="19"/>
      <c r="RV78" s="19"/>
      <c r="RW78" s="19"/>
      <c r="RX78" s="19"/>
      <c r="RY78" s="19"/>
      <c r="RZ78" s="19"/>
      <c r="SA78" s="19"/>
      <c r="SB78" s="19"/>
      <c r="SC78" s="19"/>
      <c r="SD78" s="19"/>
      <c r="SE78" s="19"/>
      <c r="SF78" s="19"/>
      <c r="SG78" s="19"/>
      <c r="SH78" s="19"/>
      <c r="SI78" s="19"/>
      <c r="SJ78" s="19"/>
      <c r="SK78" s="19"/>
      <c r="SL78" s="19"/>
      <c r="SM78" s="19"/>
      <c r="SN78" s="19"/>
      <c r="SO78" s="19"/>
      <c r="SP78" s="19"/>
      <c r="SQ78" s="19"/>
      <c r="SR78" s="19"/>
      <c r="SS78" s="19"/>
      <c r="ST78" s="19"/>
      <c r="SU78" s="19"/>
      <c r="SV78" s="19"/>
      <c r="SW78" s="19"/>
      <c r="SX78" s="19"/>
      <c r="SY78" s="19"/>
      <c r="SZ78" s="19"/>
      <c r="TA78" s="19"/>
      <c r="TB78" s="19"/>
      <c r="TC78" s="19"/>
      <c r="TD78" s="19"/>
      <c r="TE78" s="19"/>
      <c r="TF78" s="19"/>
      <c r="TG78" s="19"/>
      <c r="TH78" s="19"/>
      <c r="TI78" s="19"/>
      <c r="TJ78" s="19"/>
      <c r="TK78" s="19"/>
      <c r="TL78" s="19"/>
      <c r="TM78" s="19"/>
      <c r="TN78" s="19"/>
      <c r="TO78" s="19"/>
      <c r="TP78" s="19"/>
      <c r="TQ78" s="19"/>
      <c r="TR78" s="19"/>
      <c r="TS78" s="19"/>
      <c r="TT78" s="19"/>
      <c r="TU78" s="19"/>
      <c r="TV78" s="19"/>
      <c r="TW78" s="19"/>
      <c r="TX78" s="19"/>
      <c r="TY78" s="19"/>
      <c r="TZ78" s="19"/>
      <c r="UA78" s="19"/>
      <c r="UB78" s="19"/>
      <c r="UC78" s="19"/>
      <c r="UD78" s="19"/>
      <c r="UE78" s="19"/>
      <c r="UF78" s="19"/>
      <c r="UG78" s="19"/>
      <c r="UH78" s="19"/>
      <c r="UI78" s="19"/>
      <c r="UJ78" s="19"/>
      <c r="UK78" s="19"/>
      <c r="UL78" s="19"/>
      <c r="UM78" s="19"/>
      <c r="UN78" s="19"/>
      <c r="UO78" s="19"/>
      <c r="UP78" s="19"/>
      <c r="UQ78" s="19"/>
      <c r="UR78" s="19"/>
      <c r="US78" s="19"/>
      <c r="UT78" s="19"/>
      <c r="UU78" s="19"/>
      <c r="UV78" s="19"/>
      <c r="UW78" s="19"/>
      <c r="UX78" s="19"/>
      <c r="UY78" s="19"/>
      <c r="UZ78" s="19"/>
      <c r="VA78" s="19"/>
      <c r="VB78" s="19"/>
      <c r="VC78" s="19"/>
      <c r="VD78" s="19"/>
      <c r="VE78" s="19"/>
      <c r="VF78" s="19"/>
      <c r="VG78" s="19"/>
      <c r="VH78" s="19"/>
      <c r="VI78" s="19"/>
      <c r="VJ78" s="19"/>
      <c r="VK78" s="19"/>
      <c r="VL78" s="19"/>
      <c r="VM78" s="19"/>
      <c r="VN78" s="19"/>
      <c r="VO78" s="19"/>
      <c r="VP78" s="19"/>
      <c r="VQ78" s="19"/>
      <c r="VR78" s="19"/>
      <c r="VS78" s="19"/>
      <c r="VT78" s="19"/>
      <c r="VU78" s="19"/>
      <c r="VV78" s="19"/>
      <c r="VW78" s="19"/>
      <c r="VX78" s="19"/>
      <c r="VY78" s="19"/>
      <c r="VZ78" s="19"/>
      <c r="WA78" s="19"/>
      <c r="WB78" s="19"/>
      <c r="WC78" s="19"/>
      <c r="WD78" s="19"/>
      <c r="WE78" s="19"/>
      <c r="WF78" s="19"/>
      <c r="WG78" s="19"/>
      <c r="WH78" s="19"/>
      <c r="WI78" s="19"/>
      <c r="WJ78" s="19"/>
      <c r="WK78" s="19"/>
      <c r="WL78" s="19"/>
      <c r="WM78" s="19"/>
      <c r="WN78" s="19"/>
      <c r="WO78" s="19"/>
      <c r="WP78" s="19"/>
      <c r="WQ78" s="19"/>
      <c r="WR78" s="19"/>
      <c r="WS78" s="19"/>
      <c r="WT78" s="19"/>
      <c r="WU78" s="19"/>
      <c r="WV78" s="19"/>
      <c r="WW78" s="19"/>
      <c r="WX78" s="19"/>
      <c r="WY78" s="19"/>
      <c r="WZ78" s="19"/>
      <c r="XA78" s="19"/>
      <c r="XB78" s="19"/>
      <c r="XC78" s="19"/>
      <c r="XD78" s="19"/>
      <c r="XE78" s="19"/>
      <c r="XF78" s="19"/>
      <c r="XG78" s="19"/>
      <c r="XH78" s="19"/>
      <c r="XI78" s="19"/>
      <c r="XJ78" s="19"/>
      <c r="XK78" s="19"/>
      <c r="XL78" s="19"/>
      <c r="XM78" s="19"/>
      <c r="XN78" s="19"/>
      <c r="XO78" s="19"/>
      <c r="XP78" s="19"/>
      <c r="XQ78" s="19"/>
      <c r="XR78" s="19"/>
      <c r="XS78" s="19"/>
      <c r="XT78" s="19"/>
      <c r="XU78" s="19"/>
      <c r="XV78" s="19"/>
      <c r="XW78" s="19"/>
      <c r="XX78" s="19"/>
      <c r="XY78" s="19"/>
      <c r="XZ78" s="19"/>
      <c r="YA78" s="19"/>
      <c r="YB78" s="19"/>
      <c r="YC78" s="19"/>
      <c r="YD78" s="19"/>
      <c r="YE78" s="19"/>
      <c r="YF78" s="19"/>
      <c r="YG78" s="19"/>
      <c r="YH78" s="19"/>
      <c r="YI78" s="19"/>
      <c r="YJ78" s="19"/>
      <c r="YK78" s="19"/>
      <c r="YL78" s="19"/>
      <c r="YM78" s="19"/>
      <c r="YN78" s="19"/>
      <c r="YO78" s="19"/>
      <c r="YP78" s="19"/>
      <c r="YQ78" s="19"/>
      <c r="YR78" s="19"/>
      <c r="YS78" s="19"/>
      <c r="YT78" s="19"/>
      <c r="YU78" s="19"/>
      <c r="YV78" s="19"/>
      <c r="YW78" s="19"/>
      <c r="YX78" s="19"/>
      <c r="YY78" s="19"/>
      <c r="YZ78" s="19"/>
      <c r="ZA78" s="19"/>
      <c r="ZB78" s="19"/>
      <c r="ZC78" s="19"/>
      <c r="ZD78" s="19"/>
      <c r="ZE78" s="19"/>
      <c r="ZF78" s="19"/>
      <c r="ZG78" s="19"/>
      <c r="ZH78" s="19"/>
      <c r="ZI78" s="19"/>
      <c r="ZJ78" s="19"/>
      <c r="ZK78" s="19"/>
      <c r="ZL78" s="19"/>
      <c r="ZM78" s="19"/>
      <c r="ZN78" s="19"/>
      <c r="ZO78" s="19"/>
      <c r="ZP78" s="19"/>
      <c r="ZQ78" s="19"/>
      <c r="ZR78" s="19"/>
      <c r="ZS78" s="19"/>
      <c r="ZT78" s="19"/>
      <c r="ZU78" s="19"/>
      <c r="ZV78" s="19"/>
      <c r="ZW78" s="19"/>
      <c r="ZX78" s="19"/>
      <c r="ZY78" s="19"/>
      <c r="ZZ78" s="19"/>
      <c r="AAA78" s="19"/>
      <c r="AAB78" s="19"/>
      <c r="AAC78" s="19"/>
      <c r="AAD78" s="19"/>
      <c r="AAE78" s="19"/>
      <c r="AAF78" s="19"/>
      <c r="AAG78" s="19"/>
      <c r="AAH78" s="19"/>
      <c r="AAI78" s="19"/>
      <c r="AAJ78" s="19"/>
      <c r="AAK78" s="19"/>
      <c r="AAL78" s="19"/>
      <c r="AAM78" s="19"/>
      <c r="AAN78" s="19"/>
      <c r="AAO78" s="19"/>
      <c r="AAP78" s="19"/>
      <c r="AAQ78" s="19"/>
      <c r="AAR78" s="19"/>
      <c r="AAS78" s="19"/>
      <c r="AAT78" s="19"/>
      <c r="AAU78" s="19"/>
      <c r="AAV78" s="19"/>
      <c r="AAW78" s="19"/>
      <c r="AAX78" s="19"/>
      <c r="AAY78" s="19"/>
      <c r="AAZ78" s="19"/>
      <c r="ABA78" s="19"/>
      <c r="ABB78" s="19"/>
      <c r="ABC78" s="19"/>
      <c r="ABD78" s="19"/>
      <c r="ABE78" s="19"/>
      <c r="ABF78" s="19"/>
      <c r="ABG78" s="19"/>
      <c r="ABH78" s="19"/>
      <c r="ABI78" s="19"/>
      <c r="ABJ78" s="19"/>
      <c r="ABK78" s="19"/>
      <c r="ABL78" s="19"/>
      <c r="ABM78" s="19"/>
      <c r="ABN78" s="19"/>
      <c r="ABO78" s="19"/>
      <c r="ABP78" s="19"/>
      <c r="ABQ78" s="19"/>
      <c r="ABR78" s="19"/>
      <c r="ABS78" s="19"/>
      <c r="ABT78" s="19"/>
      <c r="ABU78" s="19"/>
      <c r="ABV78" s="19"/>
      <c r="ABW78" s="19"/>
      <c r="ABX78" s="19"/>
      <c r="ABY78" s="19"/>
      <c r="ABZ78" s="19"/>
      <c r="ACA78" s="19"/>
      <c r="ACB78" s="19"/>
      <c r="ACC78" s="19"/>
      <c r="ACD78" s="19"/>
      <c r="ACE78" s="19"/>
      <c r="ACF78" s="19"/>
      <c r="ACG78" s="19"/>
      <c r="ACH78" s="19"/>
      <c r="ACI78" s="19"/>
      <c r="ACJ78" s="19"/>
      <c r="ACK78" s="19"/>
      <c r="ACL78" s="19"/>
      <c r="ACM78" s="19"/>
      <c r="ACN78" s="19"/>
      <c r="ACO78" s="19"/>
      <c r="ACP78" s="19"/>
      <c r="ACQ78" s="19"/>
      <c r="ACR78" s="19"/>
      <c r="ACS78" s="19"/>
      <c r="ACT78" s="19"/>
      <c r="ACU78" s="19"/>
      <c r="ACV78" s="19"/>
      <c r="ACW78" s="19"/>
      <c r="ACX78" s="19"/>
      <c r="ACY78" s="19"/>
      <c r="ACZ78" s="19"/>
      <c r="ADA78" s="19"/>
      <c r="ADB78" s="19"/>
      <c r="ADC78" s="19"/>
      <c r="ADD78" s="19"/>
      <c r="ADE78" s="19"/>
      <c r="ADF78" s="19"/>
      <c r="ADG78" s="19"/>
      <c r="ADH78" s="19"/>
      <c r="ADI78" s="19"/>
      <c r="ADJ78" s="19"/>
      <c r="ADK78" s="19"/>
      <c r="ADL78" s="19"/>
      <c r="ADM78" s="19"/>
      <c r="ADN78" s="19"/>
      <c r="ADO78" s="19"/>
      <c r="ADP78" s="19"/>
      <c r="ADQ78" s="19"/>
      <c r="ADR78" s="19"/>
      <c r="ADS78" s="19"/>
      <c r="ADT78" s="19"/>
      <c r="ADU78" s="19"/>
      <c r="ADV78" s="19"/>
      <c r="ADW78" s="19"/>
      <c r="ADX78" s="19"/>
      <c r="ADY78" s="19"/>
      <c r="ADZ78" s="19"/>
      <c r="AEA78" s="19"/>
      <c r="AEB78" s="19"/>
      <c r="AEC78" s="19"/>
      <c r="AED78" s="19"/>
      <c r="AEE78" s="19"/>
      <c r="AEF78" s="19"/>
      <c r="AEG78" s="19"/>
      <c r="AEH78" s="19"/>
      <c r="AEI78" s="19"/>
      <c r="AEJ78" s="19"/>
      <c r="AEK78" s="19"/>
      <c r="AEL78" s="19"/>
      <c r="AEM78" s="19"/>
      <c r="AEN78" s="19"/>
      <c r="AEO78" s="19"/>
      <c r="AEP78" s="19"/>
      <c r="AEQ78" s="19"/>
      <c r="AER78" s="19"/>
      <c r="AES78" s="19"/>
      <c r="AET78" s="19"/>
      <c r="AEU78" s="19"/>
      <c r="AEV78" s="19"/>
      <c r="AEW78" s="19"/>
      <c r="AEX78" s="19"/>
      <c r="AEY78" s="19"/>
      <c r="AEZ78" s="19"/>
      <c r="AFA78" s="19"/>
      <c r="AFB78" s="19"/>
      <c r="AFC78" s="19"/>
      <c r="AFD78" s="19"/>
      <c r="AFE78" s="19"/>
      <c r="AFF78" s="19"/>
      <c r="AFG78" s="19"/>
      <c r="AFH78" s="19"/>
      <c r="AFI78" s="19"/>
      <c r="AFJ78" s="19"/>
      <c r="AFK78" s="19"/>
      <c r="AFL78" s="19"/>
      <c r="AFM78" s="19"/>
      <c r="AFN78" s="19"/>
      <c r="AFO78" s="19"/>
      <c r="AFP78" s="19"/>
      <c r="AFQ78" s="19"/>
      <c r="AFR78" s="19"/>
      <c r="AFS78" s="19"/>
      <c r="AFT78" s="19"/>
      <c r="AFU78" s="19"/>
      <c r="AFV78" s="19"/>
      <c r="AFW78" s="19"/>
      <c r="AFX78" s="19"/>
      <c r="AFY78" s="19"/>
      <c r="AFZ78" s="19"/>
      <c r="AGA78" s="19"/>
      <c r="AGB78" s="19"/>
      <c r="AGC78" s="19"/>
      <c r="AGD78" s="19"/>
      <c r="AGE78" s="19"/>
      <c r="AGF78" s="19"/>
      <c r="AGG78" s="19"/>
      <c r="AGH78" s="19"/>
      <c r="AGI78" s="19"/>
      <c r="AGJ78" s="19"/>
      <c r="AGK78" s="19"/>
      <c r="AGL78" s="19"/>
      <c r="AGM78" s="19"/>
      <c r="AGN78" s="19"/>
      <c r="AGO78" s="19"/>
      <c r="AGP78" s="19"/>
      <c r="AGQ78" s="19"/>
      <c r="AGR78" s="19"/>
      <c r="AGS78" s="19"/>
      <c r="AGT78" s="19"/>
      <c r="AGU78" s="19"/>
      <c r="AGV78" s="19"/>
      <c r="AGW78" s="19"/>
      <c r="AGX78" s="19"/>
      <c r="AGY78" s="19"/>
      <c r="AGZ78" s="19"/>
      <c r="AHA78" s="19"/>
      <c r="AHB78" s="19"/>
      <c r="AHC78" s="19"/>
      <c r="AHD78" s="19"/>
      <c r="AHE78" s="19"/>
      <c r="AHF78" s="19"/>
      <c r="AHG78" s="19"/>
      <c r="AHH78" s="19"/>
      <c r="AHI78" s="19"/>
      <c r="AHJ78" s="19"/>
      <c r="AHK78" s="19"/>
      <c r="AHL78" s="19"/>
      <c r="AHM78" s="19"/>
      <c r="AHN78" s="19"/>
      <c r="AHO78" s="19"/>
      <c r="AHP78" s="19"/>
      <c r="AHQ78" s="19"/>
      <c r="AHR78" s="19"/>
      <c r="AHS78" s="19"/>
      <c r="AHT78" s="19"/>
      <c r="AHU78" s="19"/>
      <c r="AHV78" s="19"/>
      <c r="AHW78" s="19"/>
      <c r="AHX78" s="19"/>
      <c r="AHY78" s="19"/>
      <c r="AHZ78" s="19"/>
      <c r="AIA78" s="19"/>
      <c r="AIB78" s="19"/>
      <c r="AIC78" s="19"/>
      <c r="AID78" s="19"/>
      <c r="AIE78" s="19"/>
      <c r="AIF78" s="19"/>
      <c r="AIG78" s="19"/>
      <c r="AIH78" s="19"/>
      <c r="AII78" s="19"/>
      <c r="AIJ78" s="19"/>
      <c r="AIK78" s="19"/>
      <c r="AIL78" s="19"/>
      <c r="AIM78" s="19"/>
      <c r="AIN78" s="19"/>
      <c r="AIO78" s="19"/>
      <c r="AIP78" s="19"/>
      <c r="AIQ78" s="19"/>
      <c r="AIR78" s="19"/>
      <c r="AIS78" s="19"/>
      <c r="AIT78" s="19"/>
      <c r="AIU78" s="19"/>
      <c r="AIV78" s="19"/>
      <c r="AIW78" s="19"/>
      <c r="AIX78" s="19"/>
      <c r="AIY78" s="19"/>
      <c r="AIZ78" s="19"/>
      <c r="AJA78" s="19"/>
      <c r="AJB78" s="19"/>
      <c r="AJC78" s="19"/>
      <c r="AJD78" s="19"/>
      <c r="AJE78" s="19"/>
      <c r="AJF78" s="19"/>
      <c r="AJG78" s="19"/>
      <c r="AJH78" s="19"/>
      <c r="AJI78" s="19"/>
      <c r="AJJ78" s="19"/>
      <c r="AJK78" s="19"/>
      <c r="AJL78" s="19"/>
      <c r="AJM78" s="19"/>
      <c r="AJN78" s="19"/>
      <c r="AJO78" s="19"/>
      <c r="AJP78" s="19"/>
      <c r="AJQ78" s="19"/>
      <c r="AJR78" s="19"/>
      <c r="AJS78" s="19"/>
      <c r="AJT78" s="19"/>
      <c r="AJU78" s="19"/>
      <c r="AJV78" s="19"/>
      <c r="AJW78" s="19"/>
      <c r="AJX78" s="19"/>
      <c r="AJY78" s="19"/>
      <c r="AJZ78" s="19"/>
      <c r="AKA78" s="19"/>
      <c r="AKB78" s="19"/>
      <c r="AKC78" s="19"/>
      <c r="AKD78" s="19"/>
      <c r="AKE78" s="19"/>
      <c r="AKF78" s="19"/>
      <c r="AKG78" s="19"/>
      <c r="AKH78" s="19"/>
      <c r="AKI78" s="19"/>
      <c r="AKJ78" s="19"/>
      <c r="AKK78" s="19"/>
      <c r="AKL78" s="19"/>
      <c r="AKM78" s="19"/>
      <c r="AKN78" s="19"/>
      <c r="AKO78" s="19"/>
      <c r="AKP78" s="19"/>
      <c r="AKQ78" s="19"/>
      <c r="AKR78" s="19"/>
      <c r="AKS78" s="19"/>
      <c r="AKT78" s="19"/>
      <c r="AKU78" s="19"/>
      <c r="AKV78" s="19"/>
      <c r="AKW78" s="19"/>
      <c r="AKX78" s="19"/>
      <c r="AKY78" s="19"/>
      <c r="AKZ78" s="19"/>
      <c r="ALA78" s="19"/>
      <c r="ALB78" s="19"/>
      <c r="ALC78" s="19"/>
      <c r="ALD78" s="19"/>
      <c r="ALE78" s="19"/>
      <c r="ALF78" s="19"/>
      <c r="ALG78" s="19"/>
      <c r="ALH78" s="19"/>
      <c r="ALI78" s="19"/>
      <c r="ALJ78" s="19"/>
      <c r="ALK78" s="19"/>
      <c r="ALL78" s="19"/>
      <c r="ALM78" s="19"/>
      <c r="ALN78" s="19"/>
      <c r="ALO78" s="19"/>
      <c r="ALP78" s="19"/>
      <c r="ALQ78" s="19"/>
      <c r="ALR78" s="19"/>
      <c r="ALS78" s="19"/>
      <c r="ALT78" s="19"/>
      <c r="ALU78" s="19"/>
      <c r="ALV78" s="19"/>
      <c r="ALW78" s="19"/>
      <c r="ALX78" s="19"/>
      <c r="ALY78" s="19"/>
      <c r="ALZ78" s="19"/>
      <c r="AMA78" s="19"/>
      <c r="AMB78" s="19"/>
      <c r="AMC78" s="19"/>
      <c r="AMD78" s="19"/>
      <c r="AME78" s="19"/>
      <c r="AMF78" s="19"/>
      <c r="AMG78" s="19"/>
      <c r="AMH78" s="19"/>
      <c r="AMI78" s="19"/>
      <c r="AMJ78" s="19"/>
      <c r="AMK78" s="19"/>
      <c r="AML78" s="19"/>
      <c r="AMM78" s="19"/>
      <c r="AMN78" s="19"/>
      <c r="AMO78" s="19"/>
      <c r="AMP78" s="19"/>
      <c r="AMQ78" s="19"/>
      <c r="AMR78" s="19"/>
      <c r="AMS78" s="19"/>
      <c r="AMT78" s="19"/>
      <c r="AMU78" s="19"/>
      <c r="AMV78" s="19"/>
      <c r="AMW78" s="19"/>
      <c r="AMX78" s="19"/>
      <c r="AMY78" s="19"/>
      <c r="AMZ78" s="19"/>
      <c r="ANA78" s="19"/>
      <c r="ANB78" s="19"/>
      <c r="ANC78" s="19"/>
      <c r="AND78" s="19"/>
      <c r="ANE78" s="19"/>
      <c r="ANF78" s="19"/>
      <c r="ANG78" s="19"/>
      <c r="ANH78" s="19"/>
      <c r="ANI78" s="19"/>
      <c r="ANJ78" s="19"/>
      <c r="ANK78" s="19"/>
      <c r="ANL78" s="19"/>
      <c r="ANM78" s="19"/>
      <c r="ANN78" s="19"/>
      <c r="ANO78" s="19"/>
      <c r="ANP78" s="19"/>
      <c r="ANQ78" s="19"/>
      <c r="ANR78" s="19"/>
      <c r="ANS78" s="19"/>
      <c r="ANT78" s="19"/>
      <c r="ANU78" s="19"/>
      <c r="ANV78" s="19"/>
      <c r="ANW78" s="19"/>
      <c r="ANX78" s="19"/>
      <c r="ANY78" s="19"/>
      <c r="ANZ78" s="19"/>
      <c r="AOA78" s="19"/>
      <c r="AOB78" s="19"/>
      <c r="AOC78" s="19"/>
      <c r="AOD78" s="19"/>
      <c r="AOE78" s="19"/>
      <c r="AOF78" s="19"/>
      <c r="AOG78" s="19"/>
      <c r="AOH78" s="19"/>
      <c r="AOI78" s="19"/>
      <c r="AOJ78" s="19"/>
      <c r="AOK78" s="19"/>
      <c r="AOL78" s="19"/>
      <c r="AOM78" s="19"/>
      <c r="AON78" s="19"/>
      <c r="AOO78" s="19"/>
      <c r="AOP78" s="19"/>
      <c r="AOQ78" s="19"/>
      <c r="AOR78" s="19"/>
      <c r="AOS78" s="19"/>
      <c r="AOT78" s="19"/>
      <c r="AOU78" s="19"/>
      <c r="AOV78" s="19"/>
      <c r="AOW78" s="19"/>
      <c r="AOX78" s="19"/>
      <c r="AOY78" s="19"/>
      <c r="AOZ78" s="19"/>
      <c r="APA78" s="19"/>
      <c r="APB78" s="19"/>
      <c r="APC78" s="19"/>
      <c r="APD78" s="19"/>
      <c r="APE78" s="19"/>
      <c r="APF78" s="19"/>
      <c r="APG78" s="19"/>
      <c r="APH78" s="19"/>
      <c r="API78" s="19"/>
      <c r="APJ78" s="19"/>
      <c r="APK78" s="19"/>
      <c r="APL78" s="19"/>
      <c r="APM78" s="19"/>
      <c r="APN78" s="19"/>
      <c r="APO78" s="19"/>
      <c r="APP78" s="19"/>
      <c r="APQ78" s="19"/>
      <c r="APR78" s="19"/>
      <c r="APS78" s="19"/>
      <c r="APT78" s="19"/>
      <c r="APU78" s="19"/>
      <c r="APV78" s="19"/>
      <c r="APW78" s="19"/>
      <c r="APX78" s="19"/>
      <c r="APY78" s="19"/>
      <c r="APZ78" s="19"/>
      <c r="AQA78" s="19"/>
      <c r="AQB78" s="19"/>
      <c r="AQC78" s="19"/>
      <c r="AQD78" s="19"/>
      <c r="AQE78" s="19"/>
      <c r="AQF78" s="19"/>
      <c r="AQG78" s="19"/>
      <c r="AQH78" s="19"/>
      <c r="AQI78" s="19"/>
      <c r="AQJ78" s="19"/>
      <c r="AQK78" s="19"/>
      <c r="AQL78" s="19"/>
      <c r="AQM78" s="19"/>
      <c r="AQN78" s="19"/>
      <c r="AQO78" s="19"/>
      <c r="AQP78" s="19"/>
      <c r="AQQ78" s="19"/>
      <c r="AQR78" s="19"/>
      <c r="AQS78" s="19"/>
      <c r="AQT78" s="19"/>
      <c r="AQU78" s="19"/>
      <c r="AQV78" s="19"/>
      <c r="AQW78" s="19"/>
      <c r="AQX78" s="19"/>
      <c r="AQY78" s="19"/>
      <c r="AQZ78" s="19"/>
      <c r="ARA78" s="19"/>
      <c r="ARB78" s="19"/>
      <c r="ARC78" s="19"/>
      <c r="ARD78" s="19"/>
      <c r="ARE78" s="19"/>
      <c r="ARF78" s="19"/>
      <c r="ARG78" s="19"/>
      <c r="ARH78" s="19"/>
      <c r="ARI78" s="19"/>
      <c r="ARJ78" s="19"/>
      <c r="ARK78" s="19"/>
      <c r="ARL78" s="19"/>
      <c r="ARM78" s="19"/>
      <c r="ARN78" s="19"/>
      <c r="ARO78" s="19"/>
      <c r="ARP78" s="19"/>
      <c r="ARQ78" s="19"/>
      <c r="ARR78" s="19"/>
      <c r="ARS78" s="19"/>
      <c r="ART78" s="19"/>
      <c r="ARU78" s="19"/>
      <c r="ARV78" s="19"/>
      <c r="ARW78" s="19"/>
      <c r="ARX78" s="19"/>
      <c r="ARY78" s="19"/>
      <c r="ARZ78" s="19"/>
      <c r="ASA78" s="19"/>
      <c r="ASB78" s="19"/>
      <c r="ASC78" s="19"/>
      <c r="ASD78" s="19"/>
      <c r="ASE78" s="19"/>
      <c r="ASF78" s="19"/>
      <c r="ASG78" s="19"/>
      <c r="ASH78" s="19"/>
      <c r="ASI78" s="19"/>
      <c r="ASJ78" s="19"/>
      <c r="ASK78" s="19"/>
      <c r="ASL78" s="19"/>
      <c r="ASM78" s="19"/>
      <c r="ASN78" s="19"/>
      <c r="ASO78" s="19"/>
      <c r="ASP78" s="19"/>
      <c r="ASQ78" s="19"/>
      <c r="ASR78" s="19"/>
      <c r="ASS78" s="19"/>
      <c r="AST78" s="19"/>
      <c r="ASU78" s="19"/>
      <c r="ASV78" s="19"/>
      <c r="ASW78" s="19"/>
      <c r="ASX78" s="19"/>
      <c r="ASY78" s="19"/>
      <c r="ASZ78" s="19"/>
      <c r="ATA78" s="19"/>
      <c r="ATB78" s="19"/>
      <c r="ATC78" s="19"/>
      <c r="ATD78" s="19"/>
      <c r="ATE78" s="19"/>
      <c r="ATF78" s="19"/>
      <c r="ATG78" s="19"/>
      <c r="ATH78" s="19"/>
      <c r="ATI78" s="19"/>
      <c r="ATJ78" s="19"/>
      <c r="ATK78" s="19"/>
      <c r="ATL78" s="19"/>
      <c r="ATM78" s="19"/>
      <c r="ATN78" s="19"/>
      <c r="ATO78" s="19"/>
      <c r="ATP78" s="19"/>
      <c r="ATQ78" s="19"/>
      <c r="ATR78" s="19"/>
      <c r="ATS78" s="19"/>
      <c r="ATT78" s="19"/>
      <c r="ATU78" s="19"/>
      <c r="ATV78" s="19"/>
      <c r="ATW78" s="19"/>
      <c r="ATX78" s="19"/>
      <c r="ATY78" s="19"/>
      <c r="ATZ78" s="19"/>
      <c r="AUA78" s="19"/>
      <c r="AUB78" s="19"/>
      <c r="AUC78" s="19"/>
      <c r="AUD78" s="19"/>
      <c r="AUE78" s="19"/>
      <c r="AUF78" s="19"/>
      <c r="AUG78" s="19"/>
      <c r="AUH78" s="19"/>
      <c r="AUI78" s="19"/>
      <c r="AUJ78" s="19"/>
      <c r="AUK78" s="19"/>
      <c r="AUL78" s="19"/>
      <c r="AUM78" s="19"/>
      <c r="AUN78" s="19"/>
      <c r="AUO78" s="19"/>
      <c r="AUP78" s="19"/>
      <c r="AUQ78" s="19"/>
      <c r="AUR78" s="19"/>
      <c r="AUS78" s="19"/>
      <c r="AUT78" s="19"/>
      <c r="AUU78" s="19"/>
      <c r="AUV78" s="19"/>
      <c r="AUW78" s="19"/>
      <c r="AUX78" s="19"/>
      <c r="AUY78" s="19"/>
      <c r="AUZ78" s="19"/>
      <c r="AVA78" s="19"/>
      <c r="AVB78" s="19"/>
      <c r="AVC78" s="19"/>
      <c r="AVD78" s="19"/>
      <c r="AVE78" s="19"/>
      <c r="AVF78" s="19"/>
      <c r="AVG78" s="19"/>
      <c r="AVH78" s="19"/>
      <c r="AVI78" s="19"/>
      <c r="AVJ78" s="19"/>
      <c r="AVK78" s="19"/>
      <c r="AVL78" s="19"/>
      <c r="AVM78" s="19"/>
      <c r="AVN78" s="19"/>
      <c r="AVO78" s="19"/>
      <c r="AVP78" s="19"/>
      <c r="AVQ78" s="19"/>
      <c r="AVR78" s="19"/>
      <c r="AVS78" s="19"/>
      <c r="AVT78" s="19"/>
      <c r="AVU78" s="19"/>
      <c r="AVV78" s="19"/>
      <c r="AVW78" s="19"/>
      <c r="AVX78" s="19"/>
      <c r="AVY78" s="19"/>
      <c r="AVZ78" s="19"/>
      <c r="AWA78" s="19"/>
      <c r="AWB78" s="19"/>
      <c r="AWC78" s="19"/>
      <c r="AWD78" s="19"/>
      <c r="AWE78" s="19"/>
      <c r="AWF78" s="19"/>
      <c r="AWG78" s="19"/>
      <c r="AWH78" s="19"/>
      <c r="AWI78" s="19"/>
      <c r="AWJ78" s="19"/>
      <c r="AWK78" s="19"/>
      <c r="AWL78" s="19"/>
      <c r="AWM78" s="19"/>
      <c r="AWN78" s="19"/>
      <c r="AWO78" s="19"/>
      <c r="AWP78" s="19"/>
      <c r="AWQ78" s="19"/>
      <c r="AWR78" s="19"/>
      <c r="AWS78" s="19"/>
      <c r="AWT78" s="19"/>
      <c r="AWU78" s="19"/>
      <c r="AWV78" s="19"/>
      <c r="AWW78" s="19"/>
      <c r="AWX78" s="19"/>
      <c r="AWY78" s="19"/>
      <c r="AWZ78" s="19"/>
      <c r="AXA78" s="19"/>
      <c r="AXB78" s="19"/>
      <c r="AXC78" s="19"/>
      <c r="AXD78" s="19"/>
      <c r="AXE78" s="19"/>
      <c r="AXF78" s="19"/>
      <c r="AXG78" s="19"/>
      <c r="AXH78" s="19"/>
      <c r="AXI78" s="19"/>
      <c r="AXJ78" s="19"/>
      <c r="AXK78" s="19"/>
      <c r="AXL78" s="19"/>
      <c r="AXM78" s="19"/>
      <c r="AXN78" s="19"/>
      <c r="AXO78" s="19"/>
      <c r="AXP78" s="19"/>
      <c r="AXQ78" s="19"/>
      <c r="AXR78" s="19"/>
      <c r="AXS78" s="19"/>
      <c r="AXT78" s="19"/>
      <c r="AXU78" s="19"/>
      <c r="AXV78" s="19"/>
      <c r="AXW78" s="19"/>
      <c r="AXX78" s="19"/>
      <c r="AXY78" s="19"/>
      <c r="AXZ78" s="19"/>
      <c r="AYA78" s="19"/>
      <c r="AYB78" s="19"/>
      <c r="AYC78" s="19"/>
      <c r="AYD78" s="19"/>
      <c r="AYE78" s="19"/>
      <c r="AYF78" s="19"/>
      <c r="AYG78" s="19"/>
      <c r="AYH78" s="19"/>
      <c r="AYI78" s="19"/>
      <c r="AYJ78" s="19"/>
      <c r="AYK78" s="19"/>
      <c r="AYL78" s="19"/>
      <c r="AYM78" s="19"/>
      <c r="AYN78" s="19"/>
      <c r="AYO78" s="19"/>
      <c r="AYP78" s="19"/>
      <c r="AYQ78" s="19"/>
      <c r="AYR78" s="19"/>
      <c r="AYS78" s="19"/>
      <c r="AYT78" s="19"/>
      <c r="AYU78" s="19"/>
      <c r="AYV78" s="19"/>
      <c r="AYW78" s="19"/>
      <c r="AYX78" s="19"/>
      <c r="AYY78" s="19"/>
      <c r="AYZ78" s="19"/>
      <c r="AZA78" s="19"/>
      <c r="AZB78" s="19"/>
      <c r="AZC78" s="19"/>
      <c r="AZD78" s="19"/>
      <c r="AZE78" s="19"/>
      <c r="AZF78" s="19"/>
      <c r="AZG78" s="19"/>
      <c r="AZH78" s="19"/>
      <c r="AZI78" s="19"/>
      <c r="AZJ78" s="19"/>
      <c r="AZK78" s="19"/>
      <c r="AZL78" s="19"/>
      <c r="AZM78" s="19"/>
      <c r="AZN78" s="19"/>
      <c r="AZO78" s="19"/>
      <c r="AZP78" s="19"/>
      <c r="AZQ78" s="19"/>
      <c r="AZR78" s="19"/>
      <c r="AZS78" s="19"/>
      <c r="AZT78" s="19"/>
      <c r="AZU78" s="19"/>
      <c r="AZV78" s="19"/>
      <c r="AZW78" s="19"/>
      <c r="AZX78" s="19"/>
      <c r="AZY78" s="19"/>
      <c r="AZZ78" s="19"/>
      <c r="BAA78" s="19"/>
      <c r="BAB78" s="19"/>
      <c r="BAC78" s="19"/>
      <c r="BAD78" s="19"/>
      <c r="BAE78" s="19"/>
      <c r="BAF78" s="19"/>
      <c r="BAG78" s="19"/>
      <c r="BAH78" s="19"/>
      <c r="BAI78" s="19"/>
      <c r="BAJ78" s="19"/>
      <c r="BAK78" s="19"/>
      <c r="BAL78" s="19"/>
      <c r="BAM78" s="19"/>
      <c r="BAN78" s="19"/>
      <c r="BAO78" s="19"/>
      <c r="BAP78" s="19"/>
      <c r="BAQ78" s="19"/>
      <c r="BAR78" s="19"/>
      <c r="BAS78" s="19"/>
      <c r="BAT78" s="19"/>
      <c r="BAU78" s="19"/>
      <c r="BAV78" s="19"/>
      <c r="BAW78" s="19"/>
      <c r="BAX78" s="19"/>
      <c r="BAY78" s="19"/>
      <c r="BAZ78" s="19"/>
      <c r="BBA78" s="19"/>
      <c r="BBB78" s="19"/>
      <c r="BBC78" s="19"/>
      <c r="BBD78" s="19"/>
      <c r="BBE78" s="19"/>
      <c r="BBF78" s="19"/>
      <c r="BBG78" s="19"/>
      <c r="BBH78" s="19"/>
      <c r="BBI78" s="19"/>
      <c r="BBJ78" s="19"/>
      <c r="BBK78" s="19"/>
      <c r="BBL78" s="19"/>
      <c r="BBM78" s="19"/>
      <c r="BBN78" s="19"/>
      <c r="BBO78" s="19"/>
      <c r="BBP78" s="19"/>
      <c r="BBQ78" s="19"/>
      <c r="BBR78" s="19"/>
      <c r="BBS78" s="19"/>
      <c r="BBT78" s="19"/>
      <c r="BBU78" s="19"/>
      <c r="BBV78" s="19"/>
      <c r="BBW78" s="19"/>
      <c r="BBX78" s="19"/>
      <c r="BBY78" s="19"/>
      <c r="BBZ78" s="19"/>
      <c r="BCA78" s="19"/>
      <c r="BCB78" s="19"/>
      <c r="BCC78" s="19"/>
      <c r="BCD78" s="19"/>
      <c r="BCE78" s="19"/>
      <c r="BCF78" s="19"/>
      <c r="BCG78" s="19"/>
      <c r="BCH78" s="19"/>
      <c r="BCI78" s="19"/>
      <c r="BCJ78" s="19"/>
      <c r="BCK78" s="19"/>
      <c r="BCL78" s="19"/>
      <c r="BCM78" s="19"/>
      <c r="BCN78" s="19"/>
      <c r="BCO78" s="19"/>
      <c r="BCP78" s="19"/>
      <c r="BCQ78" s="19"/>
      <c r="BCR78" s="19"/>
      <c r="BCS78" s="19"/>
      <c r="BCT78" s="19"/>
      <c r="BCU78" s="19"/>
      <c r="BCV78" s="19"/>
      <c r="BCW78" s="19"/>
      <c r="BCX78" s="19"/>
      <c r="BCY78" s="19"/>
      <c r="BCZ78" s="19"/>
      <c r="BDA78" s="19"/>
      <c r="BDB78" s="19"/>
      <c r="BDC78" s="19"/>
      <c r="BDD78" s="19"/>
      <c r="BDE78" s="19"/>
      <c r="BDF78" s="19"/>
      <c r="BDG78" s="19"/>
      <c r="BDH78" s="19"/>
      <c r="BDI78" s="19"/>
      <c r="BDJ78" s="19"/>
      <c r="BDK78" s="19"/>
      <c r="BDL78" s="19"/>
      <c r="BDM78" s="19"/>
      <c r="BDN78" s="19"/>
      <c r="BDO78" s="19"/>
      <c r="BDP78" s="19"/>
      <c r="BDQ78" s="19"/>
      <c r="BDR78" s="19"/>
      <c r="BDS78" s="19"/>
      <c r="BDT78" s="19"/>
      <c r="BDU78" s="19"/>
      <c r="BDV78" s="19"/>
      <c r="BDW78" s="19"/>
      <c r="BDX78" s="19"/>
      <c r="BDY78" s="19"/>
      <c r="BDZ78" s="19"/>
      <c r="BEA78" s="19"/>
      <c r="BEB78" s="19"/>
      <c r="BEC78" s="19"/>
      <c r="BED78" s="19"/>
      <c r="BEE78" s="19"/>
      <c r="BEF78" s="19"/>
      <c r="BEG78" s="19"/>
      <c r="BEH78" s="19"/>
      <c r="BEI78" s="19"/>
      <c r="BEJ78" s="19"/>
      <c r="BEK78" s="19"/>
      <c r="BEL78" s="19"/>
      <c r="BEM78" s="19"/>
      <c r="BEN78" s="19"/>
      <c r="BEO78" s="19"/>
      <c r="BEP78" s="19"/>
      <c r="BEQ78" s="19"/>
      <c r="BER78" s="19"/>
      <c r="BES78" s="19"/>
      <c r="BET78" s="19"/>
      <c r="BEU78" s="19"/>
      <c r="BEV78" s="19"/>
      <c r="BEW78" s="19"/>
      <c r="BEX78" s="19"/>
      <c r="BEY78" s="19"/>
      <c r="BEZ78" s="19"/>
      <c r="BFA78" s="19"/>
      <c r="BFB78" s="19"/>
      <c r="BFC78" s="19"/>
      <c r="BFD78" s="19"/>
      <c r="BFE78" s="19"/>
      <c r="BFF78" s="19"/>
      <c r="BFG78" s="19"/>
      <c r="BFH78" s="19"/>
      <c r="BFI78" s="19"/>
      <c r="BFJ78" s="19"/>
      <c r="BFK78" s="19"/>
      <c r="BFL78" s="19"/>
      <c r="BFM78" s="19"/>
      <c r="BFN78" s="19"/>
      <c r="BFO78" s="19"/>
      <c r="BFP78" s="19"/>
      <c r="BFQ78" s="19"/>
      <c r="BFR78" s="19"/>
      <c r="BFS78" s="19"/>
      <c r="BFT78" s="19"/>
      <c r="BFU78" s="19"/>
      <c r="BFV78" s="19"/>
      <c r="BFW78" s="19"/>
      <c r="BFX78" s="19"/>
      <c r="BFY78" s="19"/>
      <c r="BFZ78" s="19"/>
      <c r="BGA78" s="19"/>
      <c r="BGB78" s="19"/>
      <c r="BGC78" s="19"/>
      <c r="BGD78" s="19"/>
      <c r="BGE78" s="19"/>
      <c r="BGF78" s="19"/>
      <c r="BGG78" s="19"/>
      <c r="BGH78" s="19"/>
      <c r="BGI78" s="19"/>
      <c r="BGJ78" s="19"/>
      <c r="BGK78" s="19"/>
      <c r="BGL78" s="19"/>
      <c r="BGM78" s="19"/>
      <c r="BGN78" s="19"/>
      <c r="BGO78" s="19"/>
      <c r="BGP78" s="19"/>
      <c r="BGQ78" s="19"/>
      <c r="BGR78" s="19"/>
      <c r="BGS78" s="19"/>
      <c r="BGT78" s="19"/>
      <c r="BGU78" s="19"/>
      <c r="BGV78" s="19"/>
      <c r="BGW78" s="19"/>
      <c r="BGX78" s="19"/>
      <c r="BGY78" s="19"/>
      <c r="BGZ78" s="19"/>
      <c r="BHA78" s="19"/>
      <c r="BHB78" s="19"/>
      <c r="BHC78" s="19"/>
      <c r="BHD78" s="19"/>
      <c r="BHE78" s="19"/>
      <c r="BHF78" s="19"/>
      <c r="BHG78" s="19"/>
      <c r="BHH78" s="19"/>
      <c r="BHI78" s="19"/>
      <c r="BHJ78" s="19"/>
      <c r="BHK78" s="19"/>
      <c r="BHL78" s="19"/>
      <c r="BHM78" s="19"/>
      <c r="BHN78" s="19"/>
      <c r="BHO78" s="19"/>
      <c r="BHP78" s="19"/>
      <c r="BHQ78" s="19"/>
      <c r="BHR78" s="19"/>
      <c r="BHS78" s="19"/>
      <c r="BHT78" s="19"/>
      <c r="BHU78" s="19"/>
      <c r="BHV78" s="19"/>
      <c r="BHW78" s="19"/>
      <c r="BHX78" s="19"/>
      <c r="BHY78" s="19"/>
      <c r="BHZ78" s="19"/>
      <c r="BIA78" s="19"/>
      <c r="BIB78" s="19"/>
      <c r="BIC78" s="19"/>
      <c r="BID78" s="19"/>
      <c r="BIE78" s="19"/>
      <c r="BIF78" s="19"/>
      <c r="BIG78" s="19"/>
      <c r="BIH78" s="19"/>
      <c r="BII78" s="19"/>
      <c r="BIJ78" s="19"/>
      <c r="BIK78" s="19"/>
      <c r="BIL78" s="19"/>
      <c r="BIM78" s="19"/>
      <c r="BIN78" s="19"/>
      <c r="BIO78" s="19"/>
      <c r="BIP78" s="19"/>
      <c r="BIQ78" s="19"/>
      <c r="BIR78" s="19"/>
      <c r="BIS78" s="19"/>
      <c r="BIT78" s="19"/>
      <c r="BIU78" s="19"/>
      <c r="BIV78" s="19"/>
      <c r="BIW78" s="19"/>
      <c r="BIX78" s="19"/>
      <c r="BIY78" s="19"/>
      <c r="BIZ78" s="19"/>
      <c r="BJA78" s="19"/>
      <c r="BJB78" s="19"/>
      <c r="BJC78" s="19"/>
      <c r="BJD78" s="19"/>
      <c r="BJE78" s="19"/>
      <c r="BJF78" s="19"/>
      <c r="BJG78" s="19"/>
      <c r="BJH78" s="19"/>
      <c r="BJI78" s="19"/>
      <c r="BJJ78" s="19"/>
      <c r="BJK78" s="19"/>
      <c r="BJL78" s="19"/>
      <c r="BJM78" s="19"/>
      <c r="BJN78" s="19"/>
      <c r="BJO78" s="19"/>
      <c r="BJP78" s="19"/>
      <c r="BJQ78" s="19"/>
      <c r="BJR78" s="19"/>
      <c r="BJS78" s="19"/>
      <c r="BJT78" s="19"/>
      <c r="BJU78" s="19"/>
      <c r="BJV78" s="19"/>
      <c r="BJW78" s="19"/>
      <c r="BJX78" s="19"/>
      <c r="BJY78" s="19"/>
      <c r="BJZ78" s="19"/>
      <c r="BKA78" s="19"/>
      <c r="BKB78" s="19"/>
      <c r="BKC78" s="19"/>
      <c r="BKD78" s="19"/>
      <c r="BKE78" s="19"/>
      <c r="BKF78" s="19"/>
      <c r="BKG78" s="19"/>
      <c r="BKH78" s="19"/>
      <c r="BKI78" s="19"/>
      <c r="BKJ78" s="19"/>
      <c r="BKK78" s="19"/>
      <c r="BKL78" s="19"/>
      <c r="BKM78" s="19"/>
      <c r="BKN78" s="19"/>
      <c r="BKO78" s="19"/>
      <c r="BKP78" s="19"/>
      <c r="BKQ78" s="19"/>
      <c r="BKR78" s="19"/>
      <c r="BKS78" s="19"/>
      <c r="BKT78" s="19"/>
      <c r="BKU78" s="19"/>
      <c r="BKV78" s="19"/>
      <c r="BKW78" s="19"/>
      <c r="BKX78" s="19"/>
      <c r="BKY78" s="19"/>
      <c r="BKZ78" s="19"/>
      <c r="BLA78" s="19"/>
      <c r="BLB78" s="19"/>
      <c r="BLC78" s="19"/>
      <c r="BLD78" s="19"/>
      <c r="BLE78" s="19"/>
      <c r="BLF78" s="19"/>
      <c r="BLG78" s="19"/>
      <c r="BLH78" s="19"/>
      <c r="BLI78" s="19"/>
      <c r="BLJ78" s="19"/>
      <c r="BLK78" s="19"/>
      <c r="BLL78" s="19"/>
      <c r="BLM78" s="19"/>
      <c r="BLN78" s="19"/>
      <c r="BLO78" s="19"/>
      <c r="BLP78" s="19"/>
      <c r="BLQ78" s="19"/>
      <c r="BLR78" s="19"/>
      <c r="BLS78" s="19"/>
      <c r="BLT78" s="19"/>
      <c r="BLU78" s="19"/>
      <c r="BLV78" s="19"/>
      <c r="BLW78" s="19"/>
      <c r="BLX78" s="19"/>
      <c r="BLY78" s="19"/>
      <c r="BLZ78" s="19"/>
      <c r="BMA78" s="19"/>
      <c r="BMB78" s="19"/>
      <c r="BMC78" s="19"/>
      <c r="BMD78" s="19"/>
      <c r="BME78" s="19"/>
      <c r="BMF78" s="19"/>
      <c r="BMG78" s="19"/>
      <c r="BMH78" s="19"/>
      <c r="BMI78" s="19"/>
      <c r="BMJ78" s="19"/>
      <c r="BMK78" s="19"/>
      <c r="BML78" s="19"/>
      <c r="BMM78" s="19"/>
      <c r="BMN78" s="19"/>
      <c r="BMO78" s="19"/>
      <c r="BMP78" s="19"/>
      <c r="BMQ78" s="19"/>
      <c r="BMR78" s="19"/>
      <c r="BMS78" s="19"/>
      <c r="BMT78" s="19"/>
      <c r="BMU78" s="19"/>
      <c r="BMV78" s="19"/>
      <c r="BMW78" s="19"/>
      <c r="BMX78" s="19"/>
      <c r="BMY78" s="19"/>
      <c r="BMZ78" s="19"/>
      <c r="BNA78" s="19"/>
      <c r="BNB78" s="19"/>
      <c r="BNC78" s="19"/>
      <c r="BND78" s="19"/>
      <c r="BNE78" s="19"/>
      <c r="BNF78" s="19"/>
      <c r="BNG78" s="19"/>
      <c r="BNH78" s="19"/>
      <c r="BNI78" s="19"/>
      <c r="BNJ78" s="19"/>
      <c r="BNK78" s="19"/>
      <c r="BNL78" s="19"/>
      <c r="BNM78" s="19"/>
      <c r="BNN78" s="19"/>
      <c r="BNO78" s="19"/>
      <c r="BNP78" s="19"/>
      <c r="BNQ78" s="19"/>
      <c r="BNR78" s="19"/>
      <c r="BNS78" s="19"/>
      <c r="BNT78" s="19"/>
      <c r="BNU78" s="19"/>
      <c r="BNV78" s="19"/>
      <c r="BNW78" s="19"/>
      <c r="BNX78" s="19"/>
      <c r="BNY78" s="19"/>
      <c r="BNZ78" s="19"/>
      <c r="BOA78" s="19"/>
      <c r="BOB78" s="19"/>
      <c r="BOC78" s="19"/>
      <c r="BOD78" s="19"/>
      <c r="BOE78" s="19"/>
      <c r="BOF78" s="19"/>
      <c r="BOG78" s="19"/>
      <c r="BOH78" s="19"/>
      <c r="BOI78" s="19"/>
      <c r="BOJ78" s="19"/>
      <c r="BOK78" s="19"/>
      <c r="BOL78" s="19"/>
      <c r="BOM78" s="19"/>
      <c r="BON78" s="19"/>
      <c r="BOO78" s="19"/>
      <c r="BOP78" s="19"/>
      <c r="BOQ78" s="19"/>
      <c r="BOR78" s="19"/>
      <c r="BOS78" s="19"/>
      <c r="BOT78" s="19"/>
      <c r="BOU78" s="19"/>
      <c r="BOV78" s="19"/>
      <c r="BOW78" s="19"/>
      <c r="BOX78" s="19"/>
      <c r="BOY78" s="19"/>
      <c r="BOZ78" s="19"/>
      <c r="BPA78" s="19"/>
      <c r="BPB78" s="19"/>
      <c r="BPC78" s="19"/>
      <c r="BPD78" s="19"/>
      <c r="BPE78" s="19"/>
      <c r="BPF78" s="19"/>
      <c r="BPG78" s="19"/>
      <c r="BPH78" s="19"/>
      <c r="BPI78" s="19"/>
      <c r="BPJ78" s="19"/>
      <c r="BPK78" s="19"/>
      <c r="BPL78" s="19"/>
      <c r="BPM78" s="19"/>
      <c r="BPN78" s="19"/>
      <c r="BPO78" s="19"/>
      <c r="BPP78" s="19"/>
      <c r="BPQ78" s="19"/>
      <c r="BPR78" s="19"/>
      <c r="BPS78" s="19"/>
      <c r="BPT78" s="19"/>
      <c r="BPU78" s="19"/>
      <c r="BPV78" s="19"/>
      <c r="BPW78" s="19"/>
      <c r="BPX78" s="19"/>
      <c r="BPY78" s="19"/>
      <c r="BPZ78" s="19"/>
      <c r="BQA78" s="19"/>
      <c r="BQB78" s="19"/>
      <c r="BQC78" s="19"/>
      <c r="BQD78" s="19"/>
      <c r="BQE78" s="19"/>
      <c r="BQF78" s="19"/>
      <c r="BQG78" s="19"/>
      <c r="BQH78" s="19"/>
      <c r="BQI78" s="19"/>
      <c r="BQJ78" s="19"/>
      <c r="BQK78" s="19"/>
      <c r="BQL78" s="19"/>
      <c r="BQM78" s="19"/>
      <c r="BQN78" s="19"/>
      <c r="BQO78" s="19"/>
      <c r="BQP78" s="19"/>
      <c r="BQQ78" s="19"/>
      <c r="BQR78" s="19"/>
      <c r="BQS78" s="19"/>
      <c r="BQT78" s="19"/>
      <c r="BQU78" s="19"/>
      <c r="BQV78" s="19"/>
      <c r="BQW78" s="19"/>
      <c r="BQX78" s="19"/>
      <c r="BQY78" s="19"/>
      <c r="BQZ78" s="19"/>
      <c r="BRA78" s="19"/>
      <c r="BRB78" s="19"/>
      <c r="BRC78" s="19"/>
      <c r="BRD78" s="19"/>
      <c r="BRE78" s="19"/>
      <c r="BRF78" s="19"/>
      <c r="BRG78" s="19"/>
      <c r="BRH78" s="19"/>
      <c r="BRI78" s="19"/>
      <c r="BRJ78" s="19"/>
      <c r="BRK78" s="19"/>
      <c r="BRL78" s="19"/>
      <c r="BRM78" s="19"/>
      <c r="BRN78" s="19"/>
      <c r="BRO78" s="19"/>
      <c r="BRP78" s="19"/>
      <c r="BRQ78" s="19"/>
      <c r="BRR78" s="19"/>
      <c r="BRS78" s="19"/>
      <c r="BRT78" s="19"/>
      <c r="BRU78" s="19"/>
      <c r="BRV78" s="19"/>
      <c r="BRW78" s="19"/>
      <c r="BRX78" s="19"/>
      <c r="BRY78" s="19"/>
      <c r="BRZ78" s="19"/>
      <c r="BSA78" s="19"/>
      <c r="BSB78" s="19"/>
      <c r="BSC78" s="19"/>
      <c r="BSD78" s="19"/>
      <c r="BSE78" s="19"/>
      <c r="BSF78" s="19"/>
      <c r="BSG78" s="19"/>
      <c r="BSH78" s="19"/>
      <c r="BSI78" s="19"/>
      <c r="BSJ78" s="19"/>
      <c r="BSK78" s="19"/>
      <c r="BSL78" s="19"/>
      <c r="BSM78" s="19"/>
      <c r="BSN78" s="19"/>
      <c r="BSO78" s="19"/>
      <c r="BSP78" s="19"/>
      <c r="BSQ78" s="19"/>
      <c r="BSR78" s="19"/>
      <c r="BSS78" s="19"/>
      <c r="BST78" s="19"/>
      <c r="BSU78" s="19"/>
      <c r="BSV78" s="19"/>
      <c r="BSW78" s="19"/>
      <c r="BSX78" s="19"/>
      <c r="BSY78" s="19"/>
      <c r="BSZ78" s="19"/>
      <c r="BTA78" s="19"/>
      <c r="BTB78" s="19"/>
      <c r="BTC78" s="19"/>
      <c r="BTD78" s="19"/>
      <c r="BTE78" s="19"/>
      <c r="BTF78" s="19"/>
      <c r="BTG78" s="19"/>
      <c r="BTH78" s="19"/>
      <c r="BTI78" s="19"/>
      <c r="BTJ78" s="19"/>
      <c r="BTK78" s="19"/>
      <c r="BTL78" s="19"/>
      <c r="BTM78" s="19"/>
      <c r="BTN78" s="19"/>
      <c r="BTO78" s="19"/>
      <c r="BTP78" s="19"/>
      <c r="BTQ78" s="19"/>
      <c r="BTR78" s="19"/>
      <c r="BTS78" s="19"/>
      <c r="BTT78" s="19"/>
      <c r="BTU78" s="19"/>
      <c r="BTV78" s="19"/>
      <c r="BTW78" s="19"/>
      <c r="BTX78" s="19"/>
      <c r="BTY78" s="19"/>
      <c r="BTZ78" s="19"/>
      <c r="BUA78" s="19"/>
      <c r="BUB78" s="19"/>
      <c r="BUC78" s="19"/>
      <c r="BUD78" s="19"/>
      <c r="BUE78" s="19"/>
      <c r="BUF78" s="19"/>
      <c r="BUG78" s="19"/>
      <c r="BUH78" s="19"/>
      <c r="BUI78" s="19"/>
      <c r="BUJ78" s="19"/>
      <c r="BUK78" s="19"/>
      <c r="BUL78" s="19"/>
      <c r="BUM78" s="19"/>
      <c r="BUN78" s="19"/>
      <c r="BUO78" s="19"/>
      <c r="BUP78" s="19"/>
      <c r="BUQ78" s="19"/>
      <c r="BUR78" s="19"/>
      <c r="BUS78" s="19"/>
      <c r="BUT78" s="19"/>
      <c r="BUU78" s="19"/>
      <c r="BUV78" s="19"/>
      <c r="BUW78" s="19"/>
      <c r="BUX78" s="19"/>
      <c r="BUY78" s="19"/>
      <c r="BUZ78" s="19"/>
      <c r="BVA78" s="19"/>
      <c r="BVB78" s="19"/>
      <c r="BVC78" s="19"/>
      <c r="BVD78" s="19"/>
      <c r="BVE78" s="19"/>
      <c r="BVF78" s="19"/>
      <c r="BVG78" s="19"/>
      <c r="BVH78" s="19"/>
      <c r="BVI78" s="19"/>
      <c r="BVJ78" s="19"/>
      <c r="BVK78" s="19"/>
      <c r="BVL78" s="19"/>
      <c r="BVM78" s="19"/>
      <c r="BVN78" s="19"/>
      <c r="BVO78" s="19"/>
      <c r="BVP78" s="19"/>
      <c r="BVQ78" s="19"/>
      <c r="BVR78" s="19"/>
      <c r="BVS78" s="19"/>
      <c r="BVT78" s="19"/>
      <c r="BVU78" s="19"/>
      <c r="BVV78" s="19"/>
      <c r="BVW78" s="19"/>
      <c r="BVX78" s="19"/>
      <c r="BVY78" s="19"/>
      <c r="BVZ78" s="19"/>
      <c r="BWA78" s="19"/>
      <c r="BWB78" s="19"/>
      <c r="BWC78" s="19"/>
      <c r="BWD78" s="19"/>
      <c r="BWE78" s="19"/>
      <c r="BWF78" s="19"/>
      <c r="BWG78" s="19"/>
      <c r="BWH78" s="19"/>
      <c r="BWI78" s="19"/>
      <c r="BWJ78" s="19"/>
      <c r="BWK78" s="19"/>
      <c r="BWL78" s="19"/>
      <c r="BWM78" s="19"/>
      <c r="BWN78" s="19"/>
      <c r="BWO78" s="19"/>
      <c r="BWP78" s="19"/>
      <c r="BWQ78" s="19"/>
      <c r="BWR78" s="19"/>
      <c r="BWS78" s="19"/>
      <c r="BWT78" s="19"/>
      <c r="BWU78" s="19"/>
      <c r="BWV78" s="19"/>
      <c r="BWW78" s="19"/>
      <c r="BWX78" s="19"/>
      <c r="BWY78" s="19"/>
      <c r="BWZ78" s="19"/>
      <c r="BXA78" s="19"/>
      <c r="BXB78" s="19"/>
      <c r="BXC78" s="19"/>
      <c r="BXD78" s="19"/>
      <c r="BXE78" s="19"/>
      <c r="BXF78" s="19"/>
      <c r="BXG78" s="19"/>
      <c r="BXH78" s="19"/>
      <c r="BXI78" s="19"/>
      <c r="BXJ78" s="19"/>
      <c r="BXK78" s="19"/>
      <c r="BXL78" s="19"/>
      <c r="BXM78" s="19"/>
      <c r="BXN78" s="19"/>
      <c r="BXO78" s="19"/>
      <c r="BXP78" s="19"/>
      <c r="BXQ78" s="19"/>
      <c r="BXR78" s="19"/>
      <c r="BXS78" s="19"/>
      <c r="BXT78" s="19"/>
      <c r="BXU78" s="19"/>
      <c r="BXV78" s="19"/>
      <c r="BXW78" s="19"/>
      <c r="BXX78" s="19"/>
      <c r="BXY78" s="19"/>
      <c r="BXZ78" s="19"/>
      <c r="BYA78" s="19"/>
      <c r="BYB78" s="19"/>
      <c r="BYC78" s="19"/>
      <c r="BYD78" s="19"/>
      <c r="BYE78" s="19"/>
      <c r="BYF78" s="19"/>
      <c r="BYG78" s="19"/>
      <c r="BYH78" s="19"/>
      <c r="BYI78" s="19"/>
      <c r="BYJ78" s="19"/>
      <c r="BYK78" s="19"/>
      <c r="BYL78" s="19"/>
      <c r="BYM78" s="19"/>
      <c r="BYN78" s="19"/>
      <c r="BYO78" s="19"/>
      <c r="BYP78" s="19"/>
      <c r="BYQ78" s="19"/>
      <c r="BYR78" s="19"/>
      <c r="BYS78" s="19"/>
      <c r="BYT78" s="19"/>
      <c r="BYU78" s="19"/>
      <c r="BYV78" s="19"/>
      <c r="BYW78" s="19"/>
      <c r="BYX78" s="19"/>
      <c r="BYY78" s="19"/>
      <c r="BYZ78" s="19"/>
      <c r="BZA78" s="19"/>
      <c r="BZB78" s="19"/>
      <c r="BZC78" s="19"/>
      <c r="BZD78" s="19"/>
      <c r="BZE78" s="19"/>
      <c r="BZF78" s="19"/>
      <c r="BZG78" s="19"/>
      <c r="BZH78" s="19"/>
      <c r="BZI78" s="19"/>
      <c r="BZJ78" s="19"/>
      <c r="BZK78" s="19"/>
      <c r="BZL78" s="19"/>
      <c r="BZM78" s="19"/>
      <c r="BZN78" s="19"/>
      <c r="BZO78" s="19"/>
      <c r="BZP78" s="19"/>
      <c r="BZQ78" s="19"/>
      <c r="BZR78" s="19"/>
      <c r="BZS78" s="19"/>
      <c r="BZT78" s="19"/>
      <c r="BZU78" s="19"/>
      <c r="BZV78" s="19"/>
      <c r="BZW78" s="19"/>
      <c r="BZX78" s="19"/>
      <c r="BZY78" s="19"/>
      <c r="BZZ78" s="19"/>
      <c r="CAA78" s="19"/>
      <c r="CAB78" s="19"/>
      <c r="CAC78" s="19"/>
      <c r="CAD78" s="19"/>
      <c r="CAE78" s="19"/>
      <c r="CAF78" s="19"/>
      <c r="CAG78" s="19"/>
      <c r="CAH78" s="19"/>
      <c r="CAI78" s="19"/>
      <c r="CAJ78" s="19"/>
      <c r="CAK78" s="19"/>
      <c r="CAL78" s="19"/>
      <c r="CAM78" s="19"/>
      <c r="CAN78" s="19"/>
      <c r="CAO78" s="19"/>
      <c r="CAP78" s="19"/>
      <c r="CAQ78" s="19"/>
      <c r="CAR78" s="19"/>
      <c r="CAS78" s="19"/>
      <c r="CAT78" s="19"/>
      <c r="CAU78" s="19"/>
      <c r="CAV78" s="19"/>
      <c r="CAW78" s="19"/>
      <c r="CAX78" s="19"/>
      <c r="CAY78" s="19"/>
      <c r="CAZ78" s="19"/>
      <c r="CBA78" s="19"/>
      <c r="CBB78" s="19"/>
      <c r="CBC78" s="19"/>
      <c r="CBD78" s="19"/>
      <c r="CBE78" s="19"/>
      <c r="CBF78" s="19"/>
      <c r="CBG78" s="19"/>
      <c r="CBH78" s="19"/>
      <c r="CBI78" s="19"/>
      <c r="CBJ78" s="19"/>
      <c r="CBK78" s="19"/>
      <c r="CBL78" s="19"/>
      <c r="CBM78" s="19"/>
      <c r="CBN78" s="19"/>
      <c r="CBO78" s="19"/>
      <c r="CBP78" s="19"/>
      <c r="CBQ78" s="19"/>
      <c r="CBR78" s="19"/>
      <c r="CBS78" s="19"/>
      <c r="CBT78" s="19"/>
      <c r="CBU78" s="19"/>
      <c r="CBV78" s="19"/>
      <c r="CBW78" s="19"/>
      <c r="CBX78" s="19"/>
      <c r="CBY78" s="19"/>
      <c r="CBZ78" s="19"/>
      <c r="CCA78" s="19"/>
      <c r="CCB78" s="19"/>
      <c r="CCC78" s="19"/>
      <c r="CCD78" s="19"/>
      <c r="CCE78" s="19"/>
      <c r="CCF78" s="19"/>
      <c r="CCG78" s="19"/>
      <c r="CCH78" s="19"/>
      <c r="CCI78" s="19"/>
      <c r="CCJ78" s="19"/>
      <c r="CCK78" s="19"/>
      <c r="CCL78" s="19"/>
      <c r="CCM78" s="19"/>
      <c r="CCN78" s="19"/>
      <c r="CCO78" s="19"/>
      <c r="CCP78" s="19"/>
      <c r="CCQ78" s="19"/>
      <c r="CCR78" s="19"/>
      <c r="CCS78" s="19"/>
      <c r="CCT78" s="19"/>
      <c r="CCU78" s="19"/>
      <c r="CCV78" s="19"/>
      <c r="CCW78" s="19"/>
      <c r="CCX78" s="19"/>
      <c r="CCY78" s="19"/>
      <c r="CCZ78" s="19"/>
      <c r="CDA78" s="19"/>
      <c r="CDB78" s="19"/>
      <c r="CDC78" s="19"/>
      <c r="CDD78" s="19"/>
      <c r="CDE78" s="19"/>
      <c r="CDF78" s="19"/>
      <c r="CDG78" s="19"/>
      <c r="CDH78" s="19"/>
      <c r="CDI78" s="19"/>
      <c r="CDJ78" s="19"/>
      <c r="CDK78" s="19"/>
      <c r="CDL78" s="19"/>
      <c r="CDM78" s="19"/>
      <c r="CDN78" s="19"/>
      <c r="CDO78" s="19"/>
      <c r="CDP78" s="19"/>
      <c r="CDQ78" s="19"/>
      <c r="CDR78" s="19"/>
      <c r="CDS78" s="19"/>
      <c r="CDT78" s="19"/>
      <c r="CDU78" s="19"/>
      <c r="CDV78" s="19"/>
      <c r="CDW78" s="19"/>
      <c r="CDX78" s="19"/>
      <c r="CDY78" s="19"/>
      <c r="CDZ78" s="19"/>
      <c r="CEA78" s="19"/>
      <c r="CEB78" s="19"/>
      <c r="CEC78" s="19"/>
      <c r="CED78" s="19"/>
      <c r="CEE78" s="19"/>
      <c r="CEF78" s="19"/>
      <c r="CEG78" s="19"/>
      <c r="CEH78" s="19"/>
      <c r="CEI78" s="19"/>
      <c r="CEJ78" s="19"/>
      <c r="CEK78" s="19"/>
      <c r="CEL78" s="19"/>
      <c r="CEM78" s="19"/>
      <c r="CEN78" s="19"/>
      <c r="CEO78" s="19"/>
      <c r="CEP78" s="19"/>
      <c r="CEQ78" s="19"/>
      <c r="CER78" s="19"/>
      <c r="CES78" s="19"/>
      <c r="CET78" s="19"/>
      <c r="CEU78" s="19"/>
      <c r="CEV78" s="19"/>
      <c r="CEW78" s="19"/>
      <c r="CEX78" s="19"/>
      <c r="CEY78" s="19"/>
      <c r="CEZ78" s="19"/>
      <c r="CFA78" s="19"/>
      <c r="CFB78" s="19"/>
      <c r="CFC78" s="19"/>
      <c r="CFD78" s="19"/>
      <c r="CFE78" s="19"/>
      <c r="CFF78" s="19"/>
      <c r="CFG78" s="19"/>
      <c r="CFH78" s="19"/>
      <c r="CFI78" s="19"/>
      <c r="CFJ78" s="19"/>
      <c r="CFK78" s="19"/>
      <c r="CFL78" s="19"/>
      <c r="CFM78" s="19"/>
      <c r="CFN78" s="19"/>
      <c r="CFO78" s="19"/>
      <c r="CFP78" s="19"/>
      <c r="CFQ78" s="19"/>
      <c r="CFR78" s="19"/>
      <c r="CFS78" s="19"/>
      <c r="CFT78" s="19"/>
      <c r="CFU78" s="19"/>
      <c r="CFV78" s="19"/>
      <c r="CFW78" s="19"/>
      <c r="CFX78" s="19"/>
      <c r="CFY78" s="19"/>
      <c r="CFZ78" s="19"/>
      <c r="CGA78" s="19"/>
      <c r="CGB78" s="19"/>
      <c r="CGC78" s="19"/>
      <c r="CGD78" s="19"/>
      <c r="CGE78" s="19"/>
      <c r="CGF78" s="19"/>
      <c r="CGG78" s="19"/>
      <c r="CGH78" s="19"/>
      <c r="CGI78" s="19"/>
      <c r="CGJ78" s="19"/>
      <c r="CGK78" s="19"/>
      <c r="CGL78" s="19"/>
      <c r="CGM78" s="19"/>
      <c r="CGN78" s="19"/>
      <c r="CGO78" s="19"/>
      <c r="CGP78" s="19"/>
      <c r="CGQ78" s="19"/>
      <c r="CGR78" s="19"/>
      <c r="CGS78" s="19"/>
      <c r="CGT78" s="19"/>
      <c r="CGU78" s="19"/>
      <c r="CGV78" s="19"/>
      <c r="CGW78" s="19"/>
      <c r="CGX78" s="19"/>
      <c r="CGY78" s="19"/>
      <c r="CGZ78" s="19"/>
      <c r="CHA78" s="19"/>
      <c r="CHB78" s="19"/>
      <c r="CHC78" s="19"/>
      <c r="CHD78" s="19"/>
      <c r="CHE78" s="19"/>
      <c r="CHF78" s="19"/>
      <c r="CHG78" s="19"/>
      <c r="CHH78" s="19"/>
      <c r="CHI78" s="19"/>
      <c r="CHJ78" s="19"/>
      <c r="CHK78" s="19"/>
      <c r="CHL78" s="19"/>
      <c r="CHM78" s="19"/>
      <c r="CHN78" s="19"/>
      <c r="CHO78" s="19"/>
      <c r="CHP78" s="19"/>
      <c r="CHQ78" s="19"/>
      <c r="CHR78" s="19"/>
      <c r="CHS78" s="19"/>
      <c r="CHT78" s="19"/>
      <c r="CHU78" s="19"/>
      <c r="CHV78" s="19"/>
      <c r="CHW78" s="19"/>
      <c r="CHX78" s="19"/>
      <c r="CHY78" s="19"/>
      <c r="CHZ78" s="19"/>
      <c r="CIA78" s="19"/>
      <c r="CIB78" s="19"/>
      <c r="CIC78" s="19"/>
      <c r="CID78" s="19"/>
      <c r="CIE78" s="19"/>
      <c r="CIF78" s="19"/>
      <c r="CIG78" s="19"/>
      <c r="CIH78" s="19"/>
      <c r="CII78" s="19"/>
      <c r="CIJ78" s="19"/>
      <c r="CIK78" s="19"/>
      <c r="CIL78" s="19"/>
      <c r="CIM78" s="19"/>
      <c r="CIN78" s="19"/>
      <c r="CIO78" s="19"/>
      <c r="CIP78" s="19"/>
      <c r="CIQ78" s="19"/>
      <c r="CIR78" s="19"/>
      <c r="CIS78" s="19"/>
      <c r="CIT78" s="19"/>
      <c r="CIU78" s="19"/>
      <c r="CIV78" s="19"/>
      <c r="CIW78" s="19"/>
      <c r="CIX78" s="19"/>
      <c r="CIY78" s="19"/>
      <c r="CIZ78" s="19"/>
      <c r="CJA78" s="19"/>
      <c r="CJB78" s="19"/>
      <c r="CJC78" s="19"/>
      <c r="CJD78" s="19"/>
      <c r="CJE78" s="19"/>
      <c r="CJF78" s="19"/>
      <c r="CJG78" s="19"/>
      <c r="CJH78" s="19"/>
      <c r="CJI78" s="19"/>
      <c r="CJJ78" s="19"/>
      <c r="CJK78" s="19"/>
      <c r="CJL78" s="19"/>
      <c r="CJM78" s="19"/>
      <c r="CJN78" s="19"/>
      <c r="CJO78" s="19"/>
      <c r="CJP78" s="19"/>
      <c r="CJQ78" s="19"/>
      <c r="CJR78" s="19"/>
      <c r="CJS78" s="19"/>
      <c r="CJT78" s="19"/>
      <c r="CJU78" s="19"/>
      <c r="CJV78" s="19"/>
      <c r="CJW78" s="19"/>
      <c r="CJX78" s="19"/>
      <c r="CJY78" s="19"/>
      <c r="CJZ78" s="19"/>
      <c r="CKA78" s="19"/>
      <c r="CKB78" s="19"/>
      <c r="CKC78" s="19"/>
      <c r="CKD78" s="19"/>
      <c r="CKE78" s="19"/>
      <c r="CKF78" s="19"/>
      <c r="CKG78" s="19"/>
      <c r="CKH78" s="19"/>
      <c r="CKI78" s="19"/>
      <c r="CKJ78" s="19"/>
      <c r="CKK78" s="19"/>
      <c r="CKL78" s="19"/>
      <c r="CKM78" s="19"/>
      <c r="CKN78" s="19"/>
      <c r="CKO78" s="19"/>
      <c r="CKP78" s="19"/>
      <c r="CKQ78" s="19"/>
      <c r="CKR78" s="19"/>
      <c r="CKS78" s="19"/>
      <c r="CKT78" s="19"/>
      <c r="CKU78" s="19"/>
      <c r="CKV78" s="19"/>
      <c r="CKW78" s="19"/>
      <c r="CKX78" s="19"/>
      <c r="CKY78" s="19"/>
      <c r="CKZ78" s="19"/>
      <c r="CLA78" s="19"/>
      <c r="CLB78" s="19"/>
      <c r="CLC78" s="19"/>
      <c r="CLD78" s="19"/>
      <c r="CLE78" s="19"/>
      <c r="CLF78" s="19"/>
      <c r="CLG78" s="19"/>
      <c r="CLH78" s="19"/>
      <c r="CLI78" s="19"/>
      <c r="CLJ78" s="19"/>
      <c r="CLK78" s="19"/>
      <c r="CLL78" s="19"/>
      <c r="CLM78" s="19"/>
      <c r="CLN78" s="19"/>
      <c r="CLO78" s="19"/>
      <c r="CLP78" s="19"/>
      <c r="CLQ78" s="19"/>
      <c r="CLR78" s="19"/>
      <c r="CLS78" s="19"/>
      <c r="CLT78" s="19"/>
      <c r="CLU78" s="19"/>
      <c r="CLV78" s="19"/>
      <c r="CLW78" s="19"/>
      <c r="CLX78" s="19"/>
      <c r="CLY78" s="19"/>
      <c r="CLZ78" s="19"/>
      <c r="CMA78" s="19"/>
      <c r="CMB78" s="19"/>
      <c r="CMC78" s="19"/>
      <c r="CMD78" s="19"/>
      <c r="CME78" s="19"/>
      <c r="CMF78" s="19"/>
      <c r="CMG78" s="19"/>
      <c r="CMH78" s="19"/>
      <c r="CMI78" s="19"/>
      <c r="CMJ78" s="19"/>
      <c r="CMK78" s="19"/>
      <c r="CML78" s="19"/>
      <c r="CMM78" s="19"/>
      <c r="CMN78" s="19"/>
      <c r="CMO78" s="19"/>
      <c r="CMP78" s="19"/>
      <c r="CMQ78" s="19"/>
      <c r="CMR78" s="19"/>
      <c r="CMS78" s="19"/>
      <c r="CMT78" s="19"/>
      <c r="CMU78" s="19"/>
      <c r="CMV78" s="19"/>
      <c r="CMW78" s="19"/>
      <c r="CMX78" s="19"/>
      <c r="CMY78" s="19"/>
      <c r="CMZ78" s="19"/>
      <c r="CNA78" s="19"/>
      <c r="CNB78" s="19"/>
      <c r="CNC78" s="19"/>
      <c r="CND78" s="19"/>
      <c r="CNE78" s="19"/>
      <c r="CNF78" s="19"/>
      <c r="CNG78" s="19"/>
      <c r="CNH78" s="19"/>
      <c r="CNI78" s="19"/>
      <c r="CNJ78" s="19"/>
      <c r="CNK78" s="19"/>
      <c r="CNL78" s="19"/>
      <c r="CNM78" s="19"/>
      <c r="CNN78" s="19"/>
      <c r="CNO78" s="19"/>
      <c r="CNP78" s="19"/>
      <c r="CNQ78" s="19"/>
      <c r="CNR78" s="19"/>
      <c r="CNS78" s="19"/>
      <c r="CNT78" s="19"/>
      <c r="CNU78" s="19"/>
      <c r="CNV78" s="19"/>
      <c r="CNW78" s="19"/>
      <c r="CNX78" s="19"/>
      <c r="CNY78" s="19"/>
      <c r="CNZ78" s="19"/>
      <c r="COA78" s="19"/>
      <c r="COB78" s="19"/>
      <c r="COC78" s="19"/>
      <c r="COD78" s="19"/>
      <c r="COE78" s="19"/>
      <c r="COF78" s="19"/>
      <c r="COG78" s="19"/>
      <c r="COH78" s="19"/>
      <c r="COI78" s="19"/>
      <c r="COJ78" s="19"/>
      <c r="COK78" s="19"/>
      <c r="COL78" s="19"/>
      <c r="COM78" s="19"/>
      <c r="CON78" s="19"/>
      <c r="COO78" s="19"/>
      <c r="COP78" s="19"/>
      <c r="COQ78" s="19"/>
      <c r="COR78" s="19"/>
      <c r="COS78" s="19"/>
      <c r="COT78" s="19"/>
      <c r="COU78" s="19"/>
      <c r="COV78" s="19"/>
      <c r="COW78" s="19"/>
      <c r="COX78" s="19"/>
      <c r="COY78" s="19"/>
      <c r="COZ78" s="19"/>
      <c r="CPA78" s="19"/>
      <c r="CPB78" s="19"/>
      <c r="CPC78" s="19"/>
      <c r="CPD78" s="19"/>
      <c r="CPE78" s="19"/>
      <c r="CPF78" s="19"/>
      <c r="CPG78" s="19"/>
      <c r="CPH78" s="19"/>
      <c r="CPI78" s="19"/>
      <c r="CPJ78" s="19"/>
      <c r="CPK78" s="19"/>
      <c r="CPL78" s="19"/>
      <c r="CPM78" s="19"/>
      <c r="CPN78" s="19"/>
      <c r="CPO78" s="19"/>
      <c r="CPP78" s="19"/>
      <c r="CPQ78" s="19"/>
      <c r="CPR78" s="19"/>
      <c r="CPS78" s="19"/>
      <c r="CPT78" s="19"/>
      <c r="CPU78" s="19"/>
      <c r="CPV78" s="19"/>
      <c r="CPW78" s="19"/>
      <c r="CPX78" s="19"/>
      <c r="CPY78" s="19"/>
      <c r="CPZ78" s="19"/>
      <c r="CQA78" s="19"/>
      <c r="CQB78" s="19"/>
      <c r="CQC78" s="19"/>
      <c r="CQD78" s="19"/>
      <c r="CQE78" s="19"/>
      <c r="CQF78" s="19"/>
      <c r="CQG78" s="19"/>
      <c r="CQH78" s="19"/>
      <c r="CQI78" s="19"/>
      <c r="CQJ78" s="19"/>
      <c r="CQK78" s="19"/>
      <c r="CQL78" s="19"/>
      <c r="CQM78" s="19"/>
      <c r="CQN78" s="19"/>
      <c r="CQO78" s="19"/>
      <c r="CQP78" s="19"/>
      <c r="CQQ78" s="19"/>
      <c r="CQR78" s="19"/>
      <c r="CQS78" s="19"/>
      <c r="CQT78" s="19"/>
      <c r="CQU78" s="19"/>
      <c r="CQV78" s="19"/>
      <c r="CQW78" s="19"/>
      <c r="CQX78" s="19"/>
      <c r="CQY78" s="19"/>
      <c r="CQZ78" s="19"/>
      <c r="CRA78" s="19"/>
      <c r="CRB78" s="19"/>
      <c r="CRC78" s="19"/>
      <c r="CRD78" s="19"/>
      <c r="CRE78" s="19"/>
      <c r="CRF78" s="19"/>
      <c r="CRG78" s="19"/>
      <c r="CRH78" s="19"/>
      <c r="CRI78" s="19"/>
      <c r="CRJ78" s="19"/>
      <c r="CRK78" s="19"/>
      <c r="CRL78" s="19"/>
      <c r="CRM78" s="19"/>
      <c r="CRN78" s="19"/>
      <c r="CRO78" s="19"/>
      <c r="CRP78" s="19"/>
      <c r="CRQ78" s="19"/>
      <c r="CRR78" s="19"/>
      <c r="CRS78" s="19"/>
      <c r="CRT78" s="19"/>
      <c r="CRU78" s="19"/>
      <c r="CRV78" s="19"/>
      <c r="CRW78" s="19"/>
      <c r="CRX78" s="19"/>
      <c r="CRY78" s="19"/>
      <c r="CRZ78" s="19"/>
      <c r="CSA78" s="19"/>
      <c r="CSB78" s="19"/>
      <c r="CSC78" s="19"/>
      <c r="CSD78" s="19"/>
      <c r="CSE78" s="19"/>
      <c r="CSF78" s="19"/>
      <c r="CSG78" s="19"/>
      <c r="CSH78" s="19"/>
      <c r="CSI78" s="19"/>
      <c r="CSJ78" s="19"/>
      <c r="CSK78" s="19"/>
      <c r="CSL78" s="19"/>
      <c r="CSM78" s="19"/>
      <c r="CSN78" s="19"/>
      <c r="CSO78" s="19"/>
      <c r="CSP78" s="19"/>
      <c r="CSQ78" s="19"/>
      <c r="CSR78" s="19"/>
      <c r="CSS78" s="19"/>
      <c r="CST78" s="19"/>
      <c r="CSU78" s="19"/>
      <c r="CSV78" s="19"/>
      <c r="CSW78" s="19"/>
      <c r="CSX78" s="19"/>
      <c r="CSY78" s="19"/>
      <c r="CSZ78" s="19"/>
      <c r="CTA78" s="19"/>
      <c r="CTB78" s="19"/>
      <c r="CTC78" s="19"/>
      <c r="CTD78" s="19"/>
      <c r="CTE78" s="19"/>
      <c r="CTF78" s="19"/>
      <c r="CTG78" s="19"/>
      <c r="CTH78" s="19"/>
      <c r="CTI78" s="19"/>
      <c r="CTJ78" s="19"/>
      <c r="CTK78" s="19"/>
      <c r="CTL78" s="19"/>
      <c r="CTM78" s="19"/>
      <c r="CTN78" s="19"/>
      <c r="CTO78" s="19"/>
      <c r="CTP78" s="19"/>
      <c r="CTQ78" s="19"/>
      <c r="CTR78" s="19"/>
      <c r="CTS78" s="19"/>
      <c r="CTT78" s="19"/>
      <c r="CTU78" s="19"/>
      <c r="CTV78" s="19"/>
      <c r="CTW78" s="19"/>
      <c r="CTX78" s="19"/>
      <c r="CTY78" s="19"/>
      <c r="CTZ78" s="19"/>
      <c r="CUA78" s="19"/>
    </row>
    <row r="79" s="21" customFormat="1" ht="22.5" customHeight="1" spans="1:2575">
      <c r="A79" s="50"/>
      <c r="B79" s="100"/>
      <c r="C79" s="101"/>
      <c r="D79" s="166"/>
      <c r="E79" s="115"/>
      <c r="F79" s="114"/>
      <c r="G79" s="114"/>
      <c r="H79" s="112" t="s">
        <v>123</v>
      </c>
      <c r="I79" s="20">
        <f>2.5033</f>
        <v>2.5033</v>
      </c>
      <c r="J79" s="150">
        <f>0.0047</f>
        <v>0.0047</v>
      </c>
      <c r="K79" s="150"/>
      <c r="L79" s="148">
        <f t="shared" si="62"/>
        <v>0.57025174</v>
      </c>
      <c r="M79" s="148">
        <f t="shared" si="63"/>
        <v>0.34570573</v>
      </c>
      <c r="N79" s="148">
        <f t="shared" si="56"/>
        <v>0.46223425845</v>
      </c>
      <c r="O79" s="148">
        <f t="shared" si="64"/>
        <v>0.50066</v>
      </c>
      <c r="P79" s="148">
        <f t="shared" si="65"/>
        <v>0.45159532</v>
      </c>
      <c r="Q79" s="148">
        <f t="shared" si="66"/>
        <v>0.48771546248376</v>
      </c>
      <c r="R79" s="148">
        <f t="shared" si="67"/>
        <v>5.32616251093376</v>
      </c>
      <c r="T79" s="19" t="s">
        <v>81</v>
      </c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  <c r="HT79" s="19"/>
      <c r="HU79" s="19"/>
      <c r="HV79" s="19"/>
      <c r="HW79" s="19"/>
      <c r="HX79" s="19"/>
      <c r="HY79" s="19"/>
      <c r="HZ79" s="19"/>
      <c r="IA79" s="19"/>
      <c r="IB79" s="19"/>
      <c r="IC79" s="19"/>
      <c r="ID79" s="19"/>
      <c r="IE79" s="19"/>
      <c r="IF79" s="19"/>
      <c r="IG79" s="19"/>
      <c r="IH79" s="19"/>
      <c r="II79" s="19"/>
      <c r="IJ79" s="19"/>
      <c r="IK79" s="19"/>
      <c r="IL79" s="19"/>
      <c r="IM79" s="19"/>
      <c r="IN79" s="19"/>
      <c r="IO79" s="19"/>
      <c r="IP79" s="19"/>
      <c r="IQ79" s="19"/>
      <c r="IR79" s="19"/>
      <c r="IS79" s="19"/>
      <c r="IT79" s="19"/>
      <c r="IU79" s="19"/>
      <c r="IV79" s="19"/>
      <c r="IW79" s="19"/>
      <c r="IX79" s="19"/>
      <c r="IY79" s="19"/>
      <c r="IZ79" s="19"/>
      <c r="JA79" s="19"/>
      <c r="JB79" s="19"/>
      <c r="JC79" s="19"/>
      <c r="JD79" s="19"/>
      <c r="JE79" s="19"/>
      <c r="JF79" s="19"/>
      <c r="JG79" s="19"/>
      <c r="JH79" s="19"/>
      <c r="JI79" s="19"/>
      <c r="JJ79" s="19"/>
      <c r="JK79" s="19"/>
      <c r="JL79" s="19"/>
      <c r="JM79" s="19"/>
      <c r="JN79" s="19"/>
      <c r="JO79" s="19"/>
      <c r="JP79" s="19"/>
      <c r="JQ79" s="19"/>
      <c r="JR79" s="19"/>
      <c r="JS79" s="19"/>
      <c r="JT79" s="19"/>
      <c r="JU79" s="19"/>
      <c r="JV79" s="19"/>
      <c r="JW79" s="19"/>
      <c r="JX79" s="19"/>
      <c r="JY79" s="19"/>
      <c r="JZ79" s="19"/>
      <c r="KA79" s="19"/>
      <c r="KB79" s="19"/>
      <c r="KC79" s="19"/>
      <c r="KD79" s="19"/>
      <c r="KE79" s="19"/>
      <c r="KF79" s="19"/>
      <c r="KG79" s="19"/>
      <c r="KH79" s="19"/>
      <c r="KI79" s="19"/>
      <c r="KJ79" s="19"/>
      <c r="KK79" s="19"/>
      <c r="KL79" s="19"/>
      <c r="KM79" s="19"/>
      <c r="KN79" s="19"/>
      <c r="KO79" s="19"/>
      <c r="KP79" s="19"/>
      <c r="KQ79" s="19"/>
      <c r="KR79" s="19"/>
      <c r="KS79" s="19"/>
      <c r="KT79" s="19"/>
      <c r="KU79" s="19"/>
      <c r="KV79" s="19"/>
      <c r="KW79" s="19"/>
      <c r="KX79" s="19"/>
      <c r="KY79" s="19"/>
      <c r="KZ79" s="19"/>
      <c r="LA79" s="19"/>
      <c r="LB79" s="19"/>
      <c r="LC79" s="19"/>
      <c r="LD79" s="19"/>
      <c r="LE79" s="19"/>
      <c r="LF79" s="19"/>
      <c r="LG79" s="19"/>
      <c r="LH79" s="19"/>
      <c r="LI79" s="19"/>
      <c r="LJ79" s="19"/>
      <c r="LK79" s="19"/>
      <c r="LL79" s="19"/>
      <c r="LM79" s="19"/>
      <c r="LN79" s="19"/>
      <c r="LO79" s="19"/>
      <c r="LP79" s="19"/>
      <c r="LQ79" s="19"/>
      <c r="LR79" s="19"/>
      <c r="LS79" s="19"/>
      <c r="LT79" s="19"/>
      <c r="LU79" s="19"/>
      <c r="LV79" s="19"/>
      <c r="LW79" s="19"/>
      <c r="LX79" s="19"/>
      <c r="LY79" s="19"/>
      <c r="LZ79" s="19"/>
      <c r="MA79" s="19"/>
      <c r="MB79" s="19"/>
      <c r="MC79" s="19"/>
      <c r="MD79" s="19"/>
      <c r="ME79" s="19"/>
      <c r="MF79" s="19"/>
      <c r="MG79" s="19"/>
      <c r="MH79" s="19"/>
      <c r="MI79" s="19"/>
      <c r="MJ79" s="19"/>
      <c r="MK79" s="19"/>
      <c r="ML79" s="19"/>
      <c r="MM79" s="19"/>
      <c r="MN79" s="19"/>
      <c r="MO79" s="19"/>
      <c r="MP79" s="19"/>
      <c r="MQ79" s="19"/>
      <c r="MR79" s="19"/>
      <c r="MS79" s="19"/>
      <c r="MT79" s="19"/>
      <c r="MU79" s="19"/>
      <c r="MV79" s="19"/>
      <c r="MW79" s="19"/>
      <c r="MX79" s="19"/>
      <c r="MY79" s="19"/>
      <c r="MZ79" s="19"/>
      <c r="NA79" s="19"/>
      <c r="NB79" s="19"/>
      <c r="NC79" s="19"/>
      <c r="ND79" s="19"/>
      <c r="NE79" s="19"/>
      <c r="NF79" s="19"/>
      <c r="NG79" s="19"/>
      <c r="NH79" s="19"/>
      <c r="NI79" s="19"/>
      <c r="NJ79" s="19"/>
      <c r="NK79" s="19"/>
      <c r="NL79" s="19"/>
      <c r="NM79" s="19"/>
      <c r="NN79" s="19"/>
      <c r="NO79" s="19"/>
      <c r="NP79" s="19"/>
      <c r="NQ79" s="19"/>
      <c r="NR79" s="19"/>
      <c r="NS79" s="19"/>
      <c r="NT79" s="19"/>
      <c r="NU79" s="19"/>
      <c r="NV79" s="19"/>
      <c r="NW79" s="19"/>
      <c r="NX79" s="19"/>
      <c r="NY79" s="19"/>
      <c r="NZ79" s="19"/>
      <c r="OA79" s="19"/>
      <c r="OB79" s="19"/>
      <c r="OC79" s="19"/>
      <c r="OD79" s="19"/>
      <c r="OE79" s="19"/>
      <c r="OF79" s="19"/>
      <c r="OG79" s="19"/>
      <c r="OH79" s="19"/>
      <c r="OI79" s="19"/>
      <c r="OJ79" s="19"/>
      <c r="OK79" s="19"/>
      <c r="OL79" s="19"/>
      <c r="OM79" s="19"/>
      <c r="ON79" s="19"/>
      <c r="OO79" s="19"/>
      <c r="OP79" s="19"/>
      <c r="OQ79" s="19"/>
      <c r="OR79" s="19"/>
      <c r="OS79" s="19"/>
      <c r="OT79" s="19"/>
      <c r="OU79" s="19"/>
      <c r="OV79" s="19"/>
      <c r="OW79" s="19"/>
      <c r="OX79" s="19"/>
      <c r="OY79" s="19"/>
      <c r="OZ79" s="19"/>
      <c r="PA79" s="19"/>
      <c r="PB79" s="19"/>
      <c r="PC79" s="19"/>
      <c r="PD79" s="19"/>
      <c r="PE79" s="19"/>
      <c r="PF79" s="19"/>
      <c r="PG79" s="19"/>
      <c r="PH79" s="19"/>
      <c r="PI79" s="19"/>
      <c r="PJ79" s="19"/>
      <c r="PK79" s="19"/>
      <c r="PL79" s="19"/>
      <c r="PM79" s="19"/>
      <c r="PN79" s="19"/>
      <c r="PO79" s="19"/>
      <c r="PP79" s="19"/>
      <c r="PQ79" s="19"/>
      <c r="PR79" s="19"/>
      <c r="PS79" s="19"/>
      <c r="PT79" s="19"/>
      <c r="PU79" s="19"/>
      <c r="PV79" s="19"/>
      <c r="PW79" s="19"/>
      <c r="PX79" s="19"/>
      <c r="PY79" s="19"/>
      <c r="PZ79" s="19"/>
      <c r="QA79" s="19"/>
      <c r="QB79" s="19"/>
      <c r="QC79" s="19"/>
      <c r="QD79" s="19"/>
      <c r="QE79" s="19"/>
      <c r="QF79" s="19"/>
      <c r="QG79" s="19"/>
      <c r="QH79" s="19"/>
      <c r="QI79" s="19"/>
      <c r="QJ79" s="19"/>
      <c r="QK79" s="19"/>
      <c r="QL79" s="19"/>
      <c r="QM79" s="19"/>
      <c r="QN79" s="19"/>
      <c r="QO79" s="19"/>
      <c r="QP79" s="19"/>
      <c r="QQ79" s="19"/>
      <c r="QR79" s="19"/>
      <c r="QS79" s="19"/>
      <c r="QT79" s="19"/>
      <c r="QU79" s="19"/>
      <c r="QV79" s="19"/>
      <c r="QW79" s="19"/>
      <c r="QX79" s="19"/>
      <c r="QY79" s="19"/>
      <c r="QZ79" s="19"/>
      <c r="RA79" s="19"/>
      <c r="RB79" s="19"/>
      <c r="RC79" s="19"/>
      <c r="RD79" s="19"/>
      <c r="RE79" s="19"/>
      <c r="RF79" s="19"/>
      <c r="RG79" s="19"/>
      <c r="RH79" s="19"/>
      <c r="RI79" s="19"/>
      <c r="RJ79" s="19"/>
      <c r="RK79" s="19"/>
      <c r="RL79" s="19"/>
      <c r="RM79" s="19"/>
      <c r="RN79" s="19"/>
      <c r="RO79" s="19"/>
      <c r="RP79" s="19"/>
      <c r="RQ79" s="19"/>
      <c r="RR79" s="19"/>
      <c r="RS79" s="19"/>
      <c r="RT79" s="19"/>
      <c r="RU79" s="19"/>
      <c r="RV79" s="19"/>
      <c r="RW79" s="19"/>
      <c r="RX79" s="19"/>
      <c r="RY79" s="19"/>
      <c r="RZ79" s="19"/>
      <c r="SA79" s="19"/>
      <c r="SB79" s="19"/>
      <c r="SC79" s="19"/>
      <c r="SD79" s="19"/>
      <c r="SE79" s="19"/>
      <c r="SF79" s="19"/>
      <c r="SG79" s="19"/>
      <c r="SH79" s="19"/>
      <c r="SI79" s="19"/>
      <c r="SJ79" s="19"/>
      <c r="SK79" s="19"/>
      <c r="SL79" s="19"/>
      <c r="SM79" s="19"/>
      <c r="SN79" s="19"/>
      <c r="SO79" s="19"/>
      <c r="SP79" s="19"/>
      <c r="SQ79" s="19"/>
      <c r="SR79" s="19"/>
      <c r="SS79" s="19"/>
      <c r="ST79" s="19"/>
      <c r="SU79" s="19"/>
      <c r="SV79" s="19"/>
      <c r="SW79" s="19"/>
      <c r="SX79" s="19"/>
      <c r="SY79" s="19"/>
      <c r="SZ79" s="19"/>
      <c r="TA79" s="19"/>
      <c r="TB79" s="19"/>
      <c r="TC79" s="19"/>
      <c r="TD79" s="19"/>
      <c r="TE79" s="19"/>
      <c r="TF79" s="19"/>
      <c r="TG79" s="19"/>
      <c r="TH79" s="19"/>
      <c r="TI79" s="19"/>
      <c r="TJ79" s="19"/>
      <c r="TK79" s="19"/>
      <c r="TL79" s="19"/>
      <c r="TM79" s="19"/>
      <c r="TN79" s="19"/>
      <c r="TO79" s="19"/>
      <c r="TP79" s="19"/>
      <c r="TQ79" s="19"/>
      <c r="TR79" s="19"/>
      <c r="TS79" s="19"/>
      <c r="TT79" s="19"/>
      <c r="TU79" s="19"/>
      <c r="TV79" s="19"/>
      <c r="TW79" s="19"/>
      <c r="TX79" s="19"/>
      <c r="TY79" s="19"/>
      <c r="TZ79" s="19"/>
      <c r="UA79" s="19"/>
      <c r="UB79" s="19"/>
      <c r="UC79" s="19"/>
      <c r="UD79" s="19"/>
      <c r="UE79" s="19"/>
      <c r="UF79" s="19"/>
      <c r="UG79" s="19"/>
      <c r="UH79" s="19"/>
      <c r="UI79" s="19"/>
      <c r="UJ79" s="19"/>
      <c r="UK79" s="19"/>
      <c r="UL79" s="19"/>
      <c r="UM79" s="19"/>
      <c r="UN79" s="19"/>
      <c r="UO79" s="19"/>
      <c r="UP79" s="19"/>
      <c r="UQ79" s="19"/>
      <c r="UR79" s="19"/>
      <c r="US79" s="19"/>
      <c r="UT79" s="19"/>
      <c r="UU79" s="19"/>
      <c r="UV79" s="19"/>
      <c r="UW79" s="19"/>
      <c r="UX79" s="19"/>
      <c r="UY79" s="19"/>
      <c r="UZ79" s="19"/>
      <c r="VA79" s="19"/>
      <c r="VB79" s="19"/>
      <c r="VC79" s="19"/>
      <c r="VD79" s="19"/>
      <c r="VE79" s="19"/>
      <c r="VF79" s="19"/>
      <c r="VG79" s="19"/>
      <c r="VH79" s="19"/>
      <c r="VI79" s="19"/>
      <c r="VJ79" s="19"/>
      <c r="VK79" s="19"/>
      <c r="VL79" s="19"/>
      <c r="VM79" s="19"/>
      <c r="VN79" s="19"/>
      <c r="VO79" s="19"/>
      <c r="VP79" s="19"/>
      <c r="VQ79" s="19"/>
      <c r="VR79" s="19"/>
      <c r="VS79" s="19"/>
      <c r="VT79" s="19"/>
      <c r="VU79" s="19"/>
      <c r="VV79" s="19"/>
      <c r="VW79" s="19"/>
      <c r="VX79" s="19"/>
      <c r="VY79" s="19"/>
      <c r="VZ79" s="19"/>
      <c r="WA79" s="19"/>
      <c r="WB79" s="19"/>
      <c r="WC79" s="19"/>
      <c r="WD79" s="19"/>
      <c r="WE79" s="19"/>
      <c r="WF79" s="19"/>
      <c r="WG79" s="19"/>
      <c r="WH79" s="19"/>
      <c r="WI79" s="19"/>
      <c r="WJ79" s="19"/>
      <c r="WK79" s="19"/>
      <c r="WL79" s="19"/>
      <c r="WM79" s="19"/>
      <c r="WN79" s="19"/>
      <c r="WO79" s="19"/>
      <c r="WP79" s="19"/>
      <c r="WQ79" s="19"/>
      <c r="WR79" s="19"/>
      <c r="WS79" s="19"/>
      <c r="WT79" s="19"/>
      <c r="WU79" s="19"/>
      <c r="WV79" s="19"/>
      <c r="WW79" s="19"/>
      <c r="WX79" s="19"/>
      <c r="WY79" s="19"/>
      <c r="WZ79" s="19"/>
      <c r="XA79" s="19"/>
      <c r="XB79" s="19"/>
      <c r="XC79" s="19"/>
      <c r="XD79" s="19"/>
      <c r="XE79" s="19"/>
      <c r="XF79" s="19"/>
      <c r="XG79" s="19"/>
      <c r="XH79" s="19"/>
      <c r="XI79" s="19"/>
      <c r="XJ79" s="19"/>
      <c r="XK79" s="19"/>
      <c r="XL79" s="19"/>
      <c r="XM79" s="19"/>
      <c r="XN79" s="19"/>
      <c r="XO79" s="19"/>
      <c r="XP79" s="19"/>
      <c r="XQ79" s="19"/>
      <c r="XR79" s="19"/>
      <c r="XS79" s="19"/>
      <c r="XT79" s="19"/>
      <c r="XU79" s="19"/>
      <c r="XV79" s="19"/>
      <c r="XW79" s="19"/>
      <c r="XX79" s="19"/>
      <c r="XY79" s="19"/>
      <c r="XZ79" s="19"/>
      <c r="YA79" s="19"/>
      <c r="YB79" s="19"/>
      <c r="YC79" s="19"/>
      <c r="YD79" s="19"/>
      <c r="YE79" s="19"/>
      <c r="YF79" s="19"/>
      <c r="YG79" s="19"/>
      <c r="YH79" s="19"/>
      <c r="YI79" s="19"/>
      <c r="YJ79" s="19"/>
      <c r="YK79" s="19"/>
      <c r="YL79" s="19"/>
      <c r="YM79" s="19"/>
      <c r="YN79" s="19"/>
      <c r="YO79" s="19"/>
      <c r="YP79" s="19"/>
      <c r="YQ79" s="19"/>
      <c r="YR79" s="19"/>
      <c r="YS79" s="19"/>
      <c r="YT79" s="19"/>
      <c r="YU79" s="19"/>
      <c r="YV79" s="19"/>
      <c r="YW79" s="19"/>
      <c r="YX79" s="19"/>
      <c r="YY79" s="19"/>
      <c r="YZ79" s="19"/>
      <c r="ZA79" s="19"/>
      <c r="ZB79" s="19"/>
      <c r="ZC79" s="19"/>
      <c r="ZD79" s="19"/>
      <c r="ZE79" s="19"/>
      <c r="ZF79" s="19"/>
      <c r="ZG79" s="19"/>
      <c r="ZH79" s="19"/>
      <c r="ZI79" s="19"/>
      <c r="ZJ79" s="19"/>
      <c r="ZK79" s="19"/>
      <c r="ZL79" s="19"/>
      <c r="ZM79" s="19"/>
      <c r="ZN79" s="19"/>
      <c r="ZO79" s="19"/>
      <c r="ZP79" s="19"/>
      <c r="ZQ79" s="19"/>
      <c r="ZR79" s="19"/>
      <c r="ZS79" s="19"/>
      <c r="ZT79" s="19"/>
      <c r="ZU79" s="19"/>
      <c r="ZV79" s="19"/>
      <c r="ZW79" s="19"/>
      <c r="ZX79" s="19"/>
      <c r="ZY79" s="19"/>
      <c r="ZZ79" s="19"/>
      <c r="AAA79" s="19"/>
      <c r="AAB79" s="19"/>
      <c r="AAC79" s="19"/>
      <c r="AAD79" s="19"/>
      <c r="AAE79" s="19"/>
      <c r="AAF79" s="19"/>
      <c r="AAG79" s="19"/>
      <c r="AAH79" s="19"/>
      <c r="AAI79" s="19"/>
      <c r="AAJ79" s="19"/>
      <c r="AAK79" s="19"/>
      <c r="AAL79" s="19"/>
      <c r="AAM79" s="19"/>
      <c r="AAN79" s="19"/>
      <c r="AAO79" s="19"/>
      <c r="AAP79" s="19"/>
      <c r="AAQ79" s="19"/>
      <c r="AAR79" s="19"/>
      <c r="AAS79" s="19"/>
      <c r="AAT79" s="19"/>
      <c r="AAU79" s="19"/>
      <c r="AAV79" s="19"/>
      <c r="AAW79" s="19"/>
      <c r="AAX79" s="19"/>
      <c r="AAY79" s="19"/>
      <c r="AAZ79" s="19"/>
      <c r="ABA79" s="19"/>
      <c r="ABB79" s="19"/>
      <c r="ABC79" s="19"/>
      <c r="ABD79" s="19"/>
      <c r="ABE79" s="19"/>
      <c r="ABF79" s="19"/>
      <c r="ABG79" s="19"/>
      <c r="ABH79" s="19"/>
      <c r="ABI79" s="19"/>
      <c r="ABJ79" s="19"/>
      <c r="ABK79" s="19"/>
      <c r="ABL79" s="19"/>
      <c r="ABM79" s="19"/>
      <c r="ABN79" s="19"/>
      <c r="ABO79" s="19"/>
      <c r="ABP79" s="19"/>
      <c r="ABQ79" s="19"/>
      <c r="ABR79" s="19"/>
      <c r="ABS79" s="19"/>
      <c r="ABT79" s="19"/>
      <c r="ABU79" s="19"/>
      <c r="ABV79" s="19"/>
      <c r="ABW79" s="19"/>
      <c r="ABX79" s="19"/>
      <c r="ABY79" s="19"/>
      <c r="ABZ79" s="19"/>
      <c r="ACA79" s="19"/>
      <c r="ACB79" s="19"/>
      <c r="ACC79" s="19"/>
      <c r="ACD79" s="19"/>
      <c r="ACE79" s="19"/>
      <c r="ACF79" s="19"/>
      <c r="ACG79" s="19"/>
      <c r="ACH79" s="19"/>
      <c r="ACI79" s="19"/>
      <c r="ACJ79" s="19"/>
      <c r="ACK79" s="19"/>
      <c r="ACL79" s="19"/>
      <c r="ACM79" s="19"/>
      <c r="ACN79" s="19"/>
      <c r="ACO79" s="19"/>
      <c r="ACP79" s="19"/>
      <c r="ACQ79" s="19"/>
      <c r="ACR79" s="19"/>
      <c r="ACS79" s="19"/>
      <c r="ACT79" s="19"/>
      <c r="ACU79" s="19"/>
      <c r="ACV79" s="19"/>
      <c r="ACW79" s="19"/>
      <c r="ACX79" s="19"/>
      <c r="ACY79" s="19"/>
      <c r="ACZ79" s="19"/>
      <c r="ADA79" s="19"/>
      <c r="ADB79" s="19"/>
      <c r="ADC79" s="19"/>
      <c r="ADD79" s="19"/>
      <c r="ADE79" s="19"/>
      <c r="ADF79" s="19"/>
      <c r="ADG79" s="19"/>
      <c r="ADH79" s="19"/>
      <c r="ADI79" s="19"/>
      <c r="ADJ79" s="19"/>
      <c r="ADK79" s="19"/>
      <c r="ADL79" s="19"/>
      <c r="ADM79" s="19"/>
      <c r="ADN79" s="19"/>
      <c r="ADO79" s="19"/>
      <c r="ADP79" s="19"/>
      <c r="ADQ79" s="19"/>
      <c r="ADR79" s="19"/>
      <c r="ADS79" s="19"/>
      <c r="ADT79" s="19"/>
      <c r="ADU79" s="19"/>
      <c r="ADV79" s="19"/>
      <c r="ADW79" s="19"/>
      <c r="ADX79" s="19"/>
      <c r="ADY79" s="19"/>
      <c r="ADZ79" s="19"/>
      <c r="AEA79" s="19"/>
      <c r="AEB79" s="19"/>
      <c r="AEC79" s="19"/>
      <c r="AED79" s="19"/>
      <c r="AEE79" s="19"/>
      <c r="AEF79" s="19"/>
      <c r="AEG79" s="19"/>
      <c r="AEH79" s="19"/>
      <c r="AEI79" s="19"/>
      <c r="AEJ79" s="19"/>
      <c r="AEK79" s="19"/>
      <c r="AEL79" s="19"/>
      <c r="AEM79" s="19"/>
      <c r="AEN79" s="19"/>
      <c r="AEO79" s="19"/>
      <c r="AEP79" s="19"/>
      <c r="AEQ79" s="19"/>
      <c r="AER79" s="19"/>
      <c r="AES79" s="19"/>
      <c r="AET79" s="19"/>
      <c r="AEU79" s="19"/>
      <c r="AEV79" s="19"/>
      <c r="AEW79" s="19"/>
      <c r="AEX79" s="19"/>
      <c r="AEY79" s="19"/>
      <c r="AEZ79" s="19"/>
      <c r="AFA79" s="19"/>
      <c r="AFB79" s="19"/>
      <c r="AFC79" s="19"/>
      <c r="AFD79" s="19"/>
      <c r="AFE79" s="19"/>
      <c r="AFF79" s="19"/>
      <c r="AFG79" s="19"/>
      <c r="AFH79" s="19"/>
      <c r="AFI79" s="19"/>
      <c r="AFJ79" s="19"/>
      <c r="AFK79" s="19"/>
      <c r="AFL79" s="19"/>
      <c r="AFM79" s="19"/>
      <c r="AFN79" s="19"/>
      <c r="AFO79" s="19"/>
      <c r="AFP79" s="19"/>
      <c r="AFQ79" s="19"/>
      <c r="AFR79" s="19"/>
      <c r="AFS79" s="19"/>
      <c r="AFT79" s="19"/>
      <c r="AFU79" s="19"/>
      <c r="AFV79" s="19"/>
      <c r="AFW79" s="19"/>
      <c r="AFX79" s="19"/>
      <c r="AFY79" s="19"/>
      <c r="AFZ79" s="19"/>
      <c r="AGA79" s="19"/>
      <c r="AGB79" s="19"/>
      <c r="AGC79" s="19"/>
      <c r="AGD79" s="19"/>
      <c r="AGE79" s="19"/>
      <c r="AGF79" s="19"/>
      <c r="AGG79" s="19"/>
      <c r="AGH79" s="19"/>
      <c r="AGI79" s="19"/>
      <c r="AGJ79" s="19"/>
      <c r="AGK79" s="19"/>
      <c r="AGL79" s="19"/>
      <c r="AGM79" s="19"/>
      <c r="AGN79" s="19"/>
      <c r="AGO79" s="19"/>
      <c r="AGP79" s="19"/>
      <c r="AGQ79" s="19"/>
      <c r="AGR79" s="19"/>
      <c r="AGS79" s="19"/>
      <c r="AGT79" s="19"/>
      <c r="AGU79" s="19"/>
      <c r="AGV79" s="19"/>
      <c r="AGW79" s="19"/>
      <c r="AGX79" s="19"/>
      <c r="AGY79" s="19"/>
      <c r="AGZ79" s="19"/>
      <c r="AHA79" s="19"/>
      <c r="AHB79" s="19"/>
      <c r="AHC79" s="19"/>
      <c r="AHD79" s="19"/>
      <c r="AHE79" s="19"/>
      <c r="AHF79" s="19"/>
      <c r="AHG79" s="19"/>
      <c r="AHH79" s="19"/>
      <c r="AHI79" s="19"/>
      <c r="AHJ79" s="19"/>
      <c r="AHK79" s="19"/>
      <c r="AHL79" s="19"/>
      <c r="AHM79" s="19"/>
      <c r="AHN79" s="19"/>
      <c r="AHO79" s="19"/>
      <c r="AHP79" s="19"/>
      <c r="AHQ79" s="19"/>
      <c r="AHR79" s="19"/>
      <c r="AHS79" s="19"/>
      <c r="AHT79" s="19"/>
      <c r="AHU79" s="19"/>
      <c r="AHV79" s="19"/>
      <c r="AHW79" s="19"/>
      <c r="AHX79" s="19"/>
      <c r="AHY79" s="19"/>
      <c r="AHZ79" s="19"/>
      <c r="AIA79" s="19"/>
      <c r="AIB79" s="19"/>
      <c r="AIC79" s="19"/>
      <c r="AID79" s="19"/>
      <c r="AIE79" s="19"/>
      <c r="AIF79" s="19"/>
      <c r="AIG79" s="19"/>
      <c r="AIH79" s="19"/>
      <c r="AII79" s="19"/>
      <c r="AIJ79" s="19"/>
      <c r="AIK79" s="19"/>
      <c r="AIL79" s="19"/>
      <c r="AIM79" s="19"/>
      <c r="AIN79" s="19"/>
      <c r="AIO79" s="19"/>
      <c r="AIP79" s="19"/>
      <c r="AIQ79" s="19"/>
      <c r="AIR79" s="19"/>
      <c r="AIS79" s="19"/>
      <c r="AIT79" s="19"/>
      <c r="AIU79" s="19"/>
      <c r="AIV79" s="19"/>
      <c r="AIW79" s="19"/>
      <c r="AIX79" s="19"/>
      <c r="AIY79" s="19"/>
      <c r="AIZ79" s="19"/>
      <c r="AJA79" s="19"/>
      <c r="AJB79" s="19"/>
      <c r="AJC79" s="19"/>
      <c r="AJD79" s="19"/>
      <c r="AJE79" s="19"/>
      <c r="AJF79" s="19"/>
      <c r="AJG79" s="19"/>
      <c r="AJH79" s="19"/>
      <c r="AJI79" s="19"/>
      <c r="AJJ79" s="19"/>
      <c r="AJK79" s="19"/>
      <c r="AJL79" s="19"/>
      <c r="AJM79" s="19"/>
      <c r="AJN79" s="19"/>
      <c r="AJO79" s="19"/>
      <c r="AJP79" s="19"/>
      <c r="AJQ79" s="19"/>
      <c r="AJR79" s="19"/>
      <c r="AJS79" s="19"/>
      <c r="AJT79" s="19"/>
      <c r="AJU79" s="19"/>
      <c r="AJV79" s="19"/>
      <c r="AJW79" s="19"/>
      <c r="AJX79" s="19"/>
      <c r="AJY79" s="19"/>
      <c r="AJZ79" s="19"/>
      <c r="AKA79" s="19"/>
      <c r="AKB79" s="19"/>
      <c r="AKC79" s="19"/>
      <c r="AKD79" s="19"/>
      <c r="AKE79" s="19"/>
      <c r="AKF79" s="19"/>
      <c r="AKG79" s="19"/>
      <c r="AKH79" s="19"/>
      <c r="AKI79" s="19"/>
      <c r="AKJ79" s="19"/>
      <c r="AKK79" s="19"/>
      <c r="AKL79" s="19"/>
      <c r="AKM79" s="19"/>
      <c r="AKN79" s="19"/>
      <c r="AKO79" s="19"/>
      <c r="AKP79" s="19"/>
      <c r="AKQ79" s="19"/>
      <c r="AKR79" s="19"/>
      <c r="AKS79" s="19"/>
      <c r="AKT79" s="19"/>
      <c r="AKU79" s="19"/>
      <c r="AKV79" s="19"/>
      <c r="AKW79" s="19"/>
      <c r="AKX79" s="19"/>
      <c r="AKY79" s="19"/>
      <c r="AKZ79" s="19"/>
      <c r="ALA79" s="19"/>
      <c r="ALB79" s="19"/>
      <c r="ALC79" s="19"/>
      <c r="ALD79" s="19"/>
      <c r="ALE79" s="19"/>
      <c r="ALF79" s="19"/>
      <c r="ALG79" s="19"/>
      <c r="ALH79" s="19"/>
      <c r="ALI79" s="19"/>
      <c r="ALJ79" s="19"/>
      <c r="ALK79" s="19"/>
      <c r="ALL79" s="19"/>
      <c r="ALM79" s="19"/>
      <c r="ALN79" s="19"/>
      <c r="ALO79" s="19"/>
      <c r="ALP79" s="19"/>
      <c r="ALQ79" s="19"/>
      <c r="ALR79" s="19"/>
      <c r="ALS79" s="19"/>
      <c r="ALT79" s="19"/>
      <c r="ALU79" s="19"/>
      <c r="ALV79" s="19"/>
      <c r="ALW79" s="19"/>
      <c r="ALX79" s="19"/>
      <c r="ALY79" s="19"/>
      <c r="ALZ79" s="19"/>
      <c r="AMA79" s="19"/>
      <c r="AMB79" s="19"/>
      <c r="AMC79" s="19"/>
      <c r="AMD79" s="19"/>
      <c r="AME79" s="19"/>
      <c r="AMF79" s="19"/>
      <c r="AMG79" s="19"/>
      <c r="AMH79" s="19"/>
      <c r="AMI79" s="19"/>
      <c r="AMJ79" s="19"/>
      <c r="AMK79" s="19"/>
      <c r="AML79" s="19"/>
      <c r="AMM79" s="19"/>
      <c r="AMN79" s="19"/>
      <c r="AMO79" s="19"/>
      <c r="AMP79" s="19"/>
      <c r="AMQ79" s="19"/>
      <c r="AMR79" s="19"/>
      <c r="AMS79" s="19"/>
      <c r="AMT79" s="19"/>
      <c r="AMU79" s="19"/>
      <c r="AMV79" s="19"/>
      <c r="AMW79" s="19"/>
      <c r="AMX79" s="19"/>
      <c r="AMY79" s="19"/>
      <c r="AMZ79" s="19"/>
      <c r="ANA79" s="19"/>
      <c r="ANB79" s="19"/>
      <c r="ANC79" s="19"/>
      <c r="AND79" s="19"/>
      <c r="ANE79" s="19"/>
      <c r="ANF79" s="19"/>
      <c r="ANG79" s="19"/>
      <c r="ANH79" s="19"/>
      <c r="ANI79" s="19"/>
      <c r="ANJ79" s="19"/>
      <c r="ANK79" s="19"/>
      <c r="ANL79" s="19"/>
      <c r="ANM79" s="19"/>
      <c r="ANN79" s="19"/>
      <c r="ANO79" s="19"/>
      <c r="ANP79" s="19"/>
      <c r="ANQ79" s="19"/>
      <c r="ANR79" s="19"/>
      <c r="ANS79" s="19"/>
      <c r="ANT79" s="19"/>
      <c r="ANU79" s="19"/>
      <c r="ANV79" s="19"/>
      <c r="ANW79" s="19"/>
      <c r="ANX79" s="19"/>
      <c r="ANY79" s="19"/>
      <c r="ANZ79" s="19"/>
      <c r="AOA79" s="19"/>
      <c r="AOB79" s="19"/>
      <c r="AOC79" s="19"/>
      <c r="AOD79" s="19"/>
      <c r="AOE79" s="19"/>
      <c r="AOF79" s="19"/>
      <c r="AOG79" s="19"/>
      <c r="AOH79" s="19"/>
      <c r="AOI79" s="19"/>
      <c r="AOJ79" s="19"/>
      <c r="AOK79" s="19"/>
      <c r="AOL79" s="19"/>
      <c r="AOM79" s="19"/>
      <c r="AON79" s="19"/>
      <c r="AOO79" s="19"/>
      <c r="AOP79" s="19"/>
      <c r="AOQ79" s="19"/>
      <c r="AOR79" s="19"/>
      <c r="AOS79" s="19"/>
      <c r="AOT79" s="19"/>
      <c r="AOU79" s="19"/>
      <c r="AOV79" s="19"/>
      <c r="AOW79" s="19"/>
      <c r="AOX79" s="19"/>
      <c r="AOY79" s="19"/>
      <c r="AOZ79" s="19"/>
      <c r="APA79" s="19"/>
      <c r="APB79" s="19"/>
      <c r="APC79" s="19"/>
      <c r="APD79" s="19"/>
      <c r="APE79" s="19"/>
      <c r="APF79" s="19"/>
      <c r="APG79" s="19"/>
      <c r="APH79" s="19"/>
      <c r="API79" s="19"/>
      <c r="APJ79" s="19"/>
      <c r="APK79" s="19"/>
      <c r="APL79" s="19"/>
      <c r="APM79" s="19"/>
      <c r="APN79" s="19"/>
      <c r="APO79" s="19"/>
      <c r="APP79" s="19"/>
      <c r="APQ79" s="19"/>
      <c r="APR79" s="19"/>
      <c r="APS79" s="19"/>
      <c r="APT79" s="19"/>
      <c r="APU79" s="19"/>
      <c r="APV79" s="19"/>
      <c r="APW79" s="19"/>
      <c r="APX79" s="19"/>
      <c r="APY79" s="19"/>
      <c r="APZ79" s="19"/>
      <c r="AQA79" s="19"/>
      <c r="AQB79" s="19"/>
      <c r="AQC79" s="19"/>
      <c r="AQD79" s="19"/>
      <c r="AQE79" s="19"/>
      <c r="AQF79" s="19"/>
      <c r="AQG79" s="19"/>
      <c r="AQH79" s="19"/>
      <c r="AQI79" s="19"/>
      <c r="AQJ79" s="19"/>
      <c r="AQK79" s="19"/>
      <c r="AQL79" s="19"/>
      <c r="AQM79" s="19"/>
      <c r="AQN79" s="19"/>
      <c r="AQO79" s="19"/>
      <c r="AQP79" s="19"/>
      <c r="AQQ79" s="19"/>
      <c r="AQR79" s="19"/>
      <c r="AQS79" s="19"/>
      <c r="AQT79" s="19"/>
      <c r="AQU79" s="19"/>
      <c r="AQV79" s="19"/>
      <c r="AQW79" s="19"/>
      <c r="AQX79" s="19"/>
      <c r="AQY79" s="19"/>
      <c r="AQZ79" s="19"/>
      <c r="ARA79" s="19"/>
      <c r="ARB79" s="19"/>
      <c r="ARC79" s="19"/>
      <c r="ARD79" s="19"/>
      <c r="ARE79" s="19"/>
      <c r="ARF79" s="19"/>
      <c r="ARG79" s="19"/>
      <c r="ARH79" s="19"/>
      <c r="ARI79" s="19"/>
      <c r="ARJ79" s="19"/>
      <c r="ARK79" s="19"/>
      <c r="ARL79" s="19"/>
      <c r="ARM79" s="19"/>
      <c r="ARN79" s="19"/>
      <c r="ARO79" s="19"/>
      <c r="ARP79" s="19"/>
      <c r="ARQ79" s="19"/>
      <c r="ARR79" s="19"/>
      <c r="ARS79" s="19"/>
      <c r="ART79" s="19"/>
      <c r="ARU79" s="19"/>
      <c r="ARV79" s="19"/>
      <c r="ARW79" s="19"/>
      <c r="ARX79" s="19"/>
      <c r="ARY79" s="19"/>
      <c r="ARZ79" s="19"/>
      <c r="ASA79" s="19"/>
      <c r="ASB79" s="19"/>
      <c r="ASC79" s="19"/>
      <c r="ASD79" s="19"/>
      <c r="ASE79" s="19"/>
      <c r="ASF79" s="19"/>
      <c r="ASG79" s="19"/>
      <c r="ASH79" s="19"/>
      <c r="ASI79" s="19"/>
      <c r="ASJ79" s="19"/>
      <c r="ASK79" s="19"/>
      <c r="ASL79" s="19"/>
      <c r="ASM79" s="19"/>
      <c r="ASN79" s="19"/>
      <c r="ASO79" s="19"/>
      <c r="ASP79" s="19"/>
      <c r="ASQ79" s="19"/>
      <c r="ASR79" s="19"/>
      <c r="ASS79" s="19"/>
      <c r="AST79" s="19"/>
      <c r="ASU79" s="19"/>
      <c r="ASV79" s="19"/>
      <c r="ASW79" s="19"/>
      <c r="ASX79" s="19"/>
      <c r="ASY79" s="19"/>
      <c r="ASZ79" s="19"/>
      <c r="ATA79" s="19"/>
      <c r="ATB79" s="19"/>
      <c r="ATC79" s="19"/>
      <c r="ATD79" s="19"/>
      <c r="ATE79" s="19"/>
      <c r="ATF79" s="19"/>
      <c r="ATG79" s="19"/>
      <c r="ATH79" s="19"/>
      <c r="ATI79" s="19"/>
      <c r="ATJ79" s="19"/>
      <c r="ATK79" s="19"/>
      <c r="ATL79" s="19"/>
      <c r="ATM79" s="19"/>
      <c r="ATN79" s="19"/>
      <c r="ATO79" s="19"/>
      <c r="ATP79" s="19"/>
      <c r="ATQ79" s="19"/>
      <c r="ATR79" s="19"/>
      <c r="ATS79" s="19"/>
      <c r="ATT79" s="19"/>
      <c r="ATU79" s="19"/>
      <c r="ATV79" s="19"/>
      <c r="ATW79" s="19"/>
      <c r="ATX79" s="19"/>
      <c r="ATY79" s="19"/>
      <c r="ATZ79" s="19"/>
      <c r="AUA79" s="19"/>
      <c r="AUB79" s="19"/>
      <c r="AUC79" s="19"/>
      <c r="AUD79" s="19"/>
      <c r="AUE79" s="19"/>
      <c r="AUF79" s="19"/>
      <c r="AUG79" s="19"/>
      <c r="AUH79" s="19"/>
      <c r="AUI79" s="19"/>
      <c r="AUJ79" s="19"/>
      <c r="AUK79" s="19"/>
      <c r="AUL79" s="19"/>
      <c r="AUM79" s="19"/>
      <c r="AUN79" s="19"/>
      <c r="AUO79" s="19"/>
      <c r="AUP79" s="19"/>
      <c r="AUQ79" s="19"/>
      <c r="AUR79" s="19"/>
      <c r="AUS79" s="19"/>
      <c r="AUT79" s="19"/>
      <c r="AUU79" s="19"/>
      <c r="AUV79" s="19"/>
      <c r="AUW79" s="19"/>
      <c r="AUX79" s="19"/>
      <c r="AUY79" s="19"/>
      <c r="AUZ79" s="19"/>
      <c r="AVA79" s="19"/>
      <c r="AVB79" s="19"/>
      <c r="AVC79" s="19"/>
      <c r="AVD79" s="19"/>
      <c r="AVE79" s="19"/>
      <c r="AVF79" s="19"/>
      <c r="AVG79" s="19"/>
      <c r="AVH79" s="19"/>
      <c r="AVI79" s="19"/>
      <c r="AVJ79" s="19"/>
      <c r="AVK79" s="19"/>
      <c r="AVL79" s="19"/>
      <c r="AVM79" s="19"/>
      <c r="AVN79" s="19"/>
      <c r="AVO79" s="19"/>
      <c r="AVP79" s="19"/>
      <c r="AVQ79" s="19"/>
      <c r="AVR79" s="19"/>
      <c r="AVS79" s="19"/>
      <c r="AVT79" s="19"/>
      <c r="AVU79" s="19"/>
      <c r="AVV79" s="19"/>
      <c r="AVW79" s="19"/>
      <c r="AVX79" s="19"/>
      <c r="AVY79" s="19"/>
      <c r="AVZ79" s="19"/>
      <c r="AWA79" s="19"/>
      <c r="AWB79" s="19"/>
      <c r="AWC79" s="19"/>
      <c r="AWD79" s="19"/>
      <c r="AWE79" s="19"/>
      <c r="AWF79" s="19"/>
      <c r="AWG79" s="19"/>
      <c r="AWH79" s="19"/>
      <c r="AWI79" s="19"/>
      <c r="AWJ79" s="19"/>
      <c r="AWK79" s="19"/>
      <c r="AWL79" s="19"/>
      <c r="AWM79" s="19"/>
      <c r="AWN79" s="19"/>
      <c r="AWO79" s="19"/>
      <c r="AWP79" s="19"/>
      <c r="AWQ79" s="19"/>
      <c r="AWR79" s="19"/>
      <c r="AWS79" s="19"/>
      <c r="AWT79" s="19"/>
      <c r="AWU79" s="19"/>
      <c r="AWV79" s="19"/>
      <c r="AWW79" s="19"/>
      <c r="AWX79" s="19"/>
      <c r="AWY79" s="19"/>
      <c r="AWZ79" s="19"/>
      <c r="AXA79" s="19"/>
      <c r="AXB79" s="19"/>
      <c r="AXC79" s="19"/>
      <c r="AXD79" s="19"/>
      <c r="AXE79" s="19"/>
      <c r="AXF79" s="19"/>
      <c r="AXG79" s="19"/>
      <c r="AXH79" s="19"/>
      <c r="AXI79" s="19"/>
      <c r="AXJ79" s="19"/>
      <c r="AXK79" s="19"/>
      <c r="AXL79" s="19"/>
      <c r="AXM79" s="19"/>
      <c r="AXN79" s="19"/>
      <c r="AXO79" s="19"/>
      <c r="AXP79" s="19"/>
      <c r="AXQ79" s="19"/>
      <c r="AXR79" s="19"/>
      <c r="AXS79" s="19"/>
      <c r="AXT79" s="19"/>
      <c r="AXU79" s="19"/>
      <c r="AXV79" s="19"/>
      <c r="AXW79" s="19"/>
      <c r="AXX79" s="19"/>
      <c r="AXY79" s="19"/>
      <c r="AXZ79" s="19"/>
      <c r="AYA79" s="19"/>
      <c r="AYB79" s="19"/>
      <c r="AYC79" s="19"/>
      <c r="AYD79" s="19"/>
      <c r="AYE79" s="19"/>
      <c r="AYF79" s="19"/>
      <c r="AYG79" s="19"/>
      <c r="AYH79" s="19"/>
      <c r="AYI79" s="19"/>
      <c r="AYJ79" s="19"/>
      <c r="AYK79" s="19"/>
      <c r="AYL79" s="19"/>
      <c r="AYM79" s="19"/>
      <c r="AYN79" s="19"/>
      <c r="AYO79" s="19"/>
      <c r="AYP79" s="19"/>
      <c r="AYQ79" s="19"/>
      <c r="AYR79" s="19"/>
      <c r="AYS79" s="19"/>
      <c r="AYT79" s="19"/>
      <c r="AYU79" s="19"/>
      <c r="AYV79" s="19"/>
      <c r="AYW79" s="19"/>
      <c r="AYX79" s="19"/>
      <c r="AYY79" s="19"/>
      <c r="AYZ79" s="19"/>
      <c r="AZA79" s="19"/>
      <c r="AZB79" s="19"/>
      <c r="AZC79" s="19"/>
      <c r="AZD79" s="19"/>
      <c r="AZE79" s="19"/>
      <c r="AZF79" s="19"/>
      <c r="AZG79" s="19"/>
      <c r="AZH79" s="19"/>
      <c r="AZI79" s="19"/>
      <c r="AZJ79" s="19"/>
      <c r="AZK79" s="19"/>
      <c r="AZL79" s="19"/>
      <c r="AZM79" s="19"/>
      <c r="AZN79" s="19"/>
      <c r="AZO79" s="19"/>
      <c r="AZP79" s="19"/>
      <c r="AZQ79" s="19"/>
      <c r="AZR79" s="19"/>
      <c r="AZS79" s="19"/>
      <c r="AZT79" s="19"/>
      <c r="AZU79" s="19"/>
      <c r="AZV79" s="19"/>
      <c r="AZW79" s="19"/>
      <c r="AZX79" s="19"/>
      <c r="AZY79" s="19"/>
      <c r="AZZ79" s="19"/>
      <c r="BAA79" s="19"/>
      <c r="BAB79" s="19"/>
      <c r="BAC79" s="19"/>
      <c r="BAD79" s="19"/>
      <c r="BAE79" s="19"/>
      <c r="BAF79" s="19"/>
      <c r="BAG79" s="19"/>
      <c r="BAH79" s="19"/>
      <c r="BAI79" s="19"/>
      <c r="BAJ79" s="19"/>
      <c r="BAK79" s="19"/>
      <c r="BAL79" s="19"/>
      <c r="BAM79" s="19"/>
      <c r="BAN79" s="19"/>
      <c r="BAO79" s="19"/>
      <c r="BAP79" s="19"/>
      <c r="BAQ79" s="19"/>
      <c r="BAR79" s="19"/>
      <c r="BAS79" s="19"/>
      <c r="BAT79" s="19"/>
      <c r="BAU79" s="19"/>
      <c r="BAV79" s="19"/>
      <c r="BAW79" s="19"/>
      <c r="BAX79" s="19"/>
      <c r="BAY79" s="19"/>
      <c r="BAZ79" s="19"/>
      <c r="BBA79" s="19"/>
      <c r="BBB79" s="19"/>
      <c r="BBC79" s="19"/>
      <c r="BBD79" s="19"/>
      <c r="BBE79" s="19"/>
      <c r="BBF79" s="19"/>
      <c r="BBG79" s="19"/>
      <c r="BBH79" s="19"/>
      <c r="BBI79" s="19"/>
      <c r="BBJ79" s="19"/>
      <c r="BBK79" s="19"/>
      <c r="BBL79" s="19"/>
      <c r="BBM79" s="19"/>
      <c r="BBN79" s="19"/>
      <c r="BBO79" s="19"/>
      <c r="BBP79" s="19"/>
      <c r="BBQ79" s="19"/>
      <c r="BBR79" s="19"/>
      <c r="BBS79" s="19"/>
      <c r="BBT79" s="19"/>
      <c r="BBU79" s="19"/>
      <c r="BBV79" s="19"/>
      <c r="BBW79" s="19"/>
      <c r="BBX79" s="19"/>
      <c r="BBY79" s="19"/>
      <c r="BBZ79" s="19"/>
      <c r="BCA79" s="19"/>
      <c r="BCB79" s="19"/>
      <c r="BCC79" s="19"/>
      <c r="BCD79" s="19"/>
      <c r="BCE79" s="19"/>
      <c r="BCF79" s="19"/>
      <c r="BCG79" s="19"/>
      <c r="BCH79" s="19"/>
      <c r="BCI79" s="19"/>
      <c r="BCJ79" s="19"/>
      <c r="BCK79" s="19"/>
      <c r="BCL79" s="19"/>
      <c r="BCM79" s="19"/>
      <c r="BCN79" s="19"/>
      <c r="BCO79" s="19"/>
      <c r="BCP79" s="19"/>
      <c r="BCQ79" s="19"/>
      <c r="BCR79" s="19"/>
      <c r="BCS79" s="19"/>
      <c r="BCT79" s="19"/>
      <c r="BCU79" s="19"/>
      <c r="BCV79" s="19"/>
      <c r="BCW79" s="19"/>
      <c r="BCX79" s="19"/>
      <c r="BCY79" s="19"/>
      <c r="BCZ79" s="19"/>
      <c r="BDA79" s="19"/>
      <c r="BDB79" s="19"/>
      <c r="BDC79" s="19"/>
      <c r="BDD79" s="19"/>
      <c r="BDE79" s="19"/>
      <c r="BDF79" s="19"/>
      <c r="BDG79" s="19"/>
      <c r="BDH79" s="19"/>
      <c r="BDI79" s="19"/>
      <c r="BDJ79" s="19"/>
      <c r="BDK79" s="19"/>
      <c r="BDL79" s="19"/>
      <c r="BDM79" s="19"/>
      <c r="BDN79" s="19"/>
      <c r="BDO79" s="19"/>
      <c r="BDP79" s="19"/>
      <c r="BDQ79" s="19"/>
      <c r="BDR79" s="19"/>
      <c r="BDS79" s="19"/>
      <c r="BDT79" s="19"/>
      <c r="BDU79" s="19"/>
      <c r="BDV79" s="19"/>
      <c r="BDW79" s="19"/>
      <c r="BDX79" s="19"/>
      <c r="BDY79" s="19"/>
      <c r="BDZ79" s="19"/>
      <c r="BEA79" s="19"/>
      <c r="BEB79" s="19"/>
      <c r="BEC79" s="19"/>
      <c r="BED79" s="19"/>
      <c r="BEE79" s="19"/>
      <c r="BEF79" s="19"/>
      <c r="BEG79" s="19"/>
      <c r="BEH79" s="19"/>
      <c r="BEI79" s="19"/>
      <c r="BEJ79" s="19"/>
      <c r="BEK79" s="19"/>
      <c r="BEL79" s="19"/>
      <c r="BEM79" s="19"/>
      <c r="BEN79" s="19"/>
      <c r="BEO79" s="19"/>
      <c r="BEP79" s="19"/>
      <c r="BEQ79" s="19"/>
      <c r="BER79" s="19"/>
      <c r="BES79" s="19"/>
      <c r="BET79" s="19"/>
      <c r="BEU79" s="19"/>
      <c r="BEV79" s="19"/>
      <c r="BEW79" s="19"/>
      <c r="BEX79" s="19"/>
      <c r="BEY79" s="19"/>
      <c r="BEZ79" s="19"/>
      <c r="BFA79" s="19"/>
      <c r="BFB79" s="19"/>
      <c r="BFC79" s="19"/>
      <c r="BFD79" s="19"/>
      <c r="BFE79" s="19"/>
      <c r="BFF79" s="19"/>
      <c r="BFG79" s="19"/>
      <c r="BFH79" s="19"/>
      <c r="BFI79" s="19"/>
      <c r="BFJ79" s="19"/>
      <c r="BFK79" s="19"/>
      <c r="BFL79" s="19"/>
      <c r="BFM79" s="19"/>
      <c r="BFN79" s="19"/>
      <c r="BFO79" s="19"/>
      <c r="BFP79" s="19"/>
      <c r="BFQ79" s="19"/>
      <c r="BFR79" s="19"/>
      <c r="BFS79" s="19"/>
      <c r="BFT79" s="19"/>
      <c r="BFU79" s="19"/>
      <c r="BFV79" s="19"/>
      <c r="BFW79" s="19"/>
      <c r="BFX79" s="19"/>
      <c r="BFY79" s="19"/>
      <c r="BFZ79" s="19"/>
      <c r="BGA79" s="19"/>
      <c r="BGB79" s="19"/>
      <c r="BGC79" s="19"/>
      <c r="BGD79" s="19"/>
      <c r="BGE79" s="19"/>
      <c r="BGF79" s="19"/>
      <c r="BGG79" s="19"/>
      <c r="BGH79" s="19"/>
      <c r="BGI79" s="19"/>
      <c r="BGJ79" s="19"/>
      <c r="BGK79" s="19"/>
      <c r="BGL79" s="19"/>
      <c r="BGM79" s="19"/>
      <c r="BGN79" s="19"/>
      <c r="BGO79" s="19"/>
      <c r="BGP79" s="19"/>
      <c r="BGQ79" s="19"/>
      <c r="BGR79" s="19"/>
      <c r="BGS79" s="19"/>
      <c r="BGT79" s="19"/>
      <c r="BGU79" s="19"/>
      <c r="BGV79" s="19"/>
      <c r="BGW79" s="19"/>
      <c r="BGX79" s="19"/>
      <c r="BGY79" s="19"/>
      <c r="BGZ79" s="19"/>
      <c r="BHA79" s="19"/>
      <c r="BHB79" s="19"/>
      <c r="BHC79" s="19"/>
      <c r="BHD79" s="19"/>
      <c r="BHE79" s="19"/>
      <c r="BHF79" s="19"/>
      <c r="BHG79" s="19"/>
      <c r="BHH79" s="19"/>
      <c r="BHI79" s="19"/>
      <c r="BHJ79" s="19"/>
      <c r="BHK79" s="19"/>
      <c r="BHL79" s="19"/>
      <c r="BHM79" s="19"/>
      <c r="BHN79" s="19"/>
      <c r="BHO79" s="19"/>
      <c r="BHP79" s="19"/>
      <c r="BHQ79" s="19"/>
      <c r="BHR79" s="19"/>
      <c r="BHS79" s="19"/>
      <c r="BHT79" s="19"/>
      <c r="BHU79" s="19"/>
      <c r="BHV79" s="19"/>
      <c r="BHW79" s="19"/>
      <c r="BHX79" s="19"/>
      <c r="BHY79" s="19"/>
      <c r="BHZ79" s="19"/>
      <c r="BIA79" s="19"/>
      <c r="BIB79" s="19"/>
      <c r="BIC79" s="19"/>
      <c r="BID79" s="19"/>
      <c r="BIE79" s="19"/>
      <c r="BIF79" s="19"/>
      <c r="BIG79" s="19"/>
      <c r="BIH79" s="19"/>
      <c r="BII79" s="19"/>
      <c r="BIJ79" s="19"/>
      <c r="BIK79" s="19"/>
      <c r="BIL79" s="19"/>
      <c r="BIM79" s="19"/>
      <c r="BIN79" s="19"/>
      <c r="BIO79" s="19"/>
      <c r="BIP79" s="19"/>
      <c r="BIQ79" s="19"/>
      <c r="BIR79" s="19"/>
      <c r="BIS79" s="19"/>
      <c r="BIT79" s="19"/>
      <c r="BIU79" s="19"/>
      <c r="BIV79" s="19"/>
      <c r="BIW79" s="19"/>
      <c r="BIX79" s="19"/>
      <c r="BIY79" s="19"/>
      <c r="BIZ79" s="19"/>
      <c r="BJA79" s="19"/>
      <c r="BJB79" s="19"/>
      <c r="BJC79" s="19"/>
      <c r="BJD79" s="19"/>
      <c r="BJE79" s="19"/>
      <c r="BJF79" s="19"/>
      <c r="BJG79" s="19"/>
      <c r="BJH79" s="19"/>
      <c r="BJI79" s="19"/>
      <c r="BJJ79" s="19"/>
      <c r="BJK79" s="19"/>
      <c r="BJL79" s="19"/>
      <c r="BJM79" s="19"/>
      <c r="BJN79" s="19"/>
      <c r="BJO79" s="19"/>
      <c r="BJP79" s="19"/>
      <c r="BJQ79" s="19"/>
      <c r="BJR79" s="19"/>
      <c r="BJS79" s="19"/>
      <c r="BJT79" s="19"/>
      <c r="BJU79" s="19"/>
      <c r="BJV79" s="19"/>
      <c r="BJW79" s="19"/>
      <c r="BJX79" s="19"/>
      <c r="BJY79" s="19"/>
      <c r="BJZ79" s="19"/>
      <c r="BKA79" s="19"/>
      <c r="BKB79" s="19"/>
      <c r="BKC79" s="19"/>
      <c r="BKD79" s="19"/>
      <c r="BKE79" s="19"/>
      <c r="BKF79" s="19"/>
      <c r="BKG79" s="19"/>
      <c r="BKH79" s="19"/>
      <c r="BKI79" s="19"/>
      <c r="BKJ79" s="19"/>
      <c r="BKK79" s="19"/>
      <c r="BKL79" s="19"/>
      <c r="BKM79" s="19"/>
      <c r="BKN79" s="19"/>
      <c r="BKO79" s="19"/>
      <c r="BKP79" s="19"/>
      <c r="BKQ79" s="19"/>
      <c r="BKR79" s="19"/>
      <c r="BKS79" s="19"/>
      <c r="BKT79" s="19"/>
      <c r="BKU79" s="19"/>
      <c r="BKV79" s="19"/>
      <c r="BKW79" s="19"/>
      <c r="BKX79" s="19"/>
      <c r="BKY79" s="19"/>
      <c r="BKZ79" s="19"/>
      <c r="BLA79" s="19"/>
      <c r="BLB79" s="19"/>
      <c r="BLC79" s="19"/>
      <c r="BLD79" s="19"/>
      <c r="BLE79" s="19"/>
      <c r="BLF79" s="19"/>
      <c r="BLG79" s="19"/>
      <c r="BLH79" s="19"/>
      <c r="BLI79" s="19"/>
      <c r="BLJ79" s="19"/>
      <c r="BLK79" s="19"/>
      <c r="BLL79" s="19"/>
      <c r="BLM79" s="19"/>
      <c r="BLN79" s="19"/>
      <c r="BLO79" s="19"/>
      <c r="BLP79" s="19"/>
      <c r="BLQ79" s="19"/>
      <c r="BLR79" s="19"/>
      <c r="BLS79" s="19"/>
      <c r="BLT79" s="19"/>
      <c r="BLU79" s="19"/>
      <c r="BLV79" s="19"/>
      <c r="BLW79" s="19"/>
      <c r="BLX79" s="19"/>
      <c r="BLY79" s="19"/>
      <c r="BLZ79" s="19"/>
      <c r="BMA79" s="19"/>
      <c r="BMB79" s="19"/>
      <c r="BMC79" s="19"/>
      <c r="BMD79" s="19"/>
      <c r="BME79" s="19"/>
      <c r="BMF79" s="19"/>
      <c r="BMG79" s="19"/>
      <c r="BMH79" s="19"/>
      <c r="BMI79" s="19"/>
      <c r="BMJ79" s="19"/>
      <c r="BMK79" s="19"/>
      <c r="BML79" s="19"/>
      <c r="BMM79" s="19"/>
      <c r="BMN79" s="19"/>
      <c r="BMO79" s="19"/>
      <c r="BMP79" s="19"/>
      <c r="BMQ79" s="19"/>
      <c r="BMR79" s="19"/>
      <c r="BMS79" s="19"/>
      <c r="BMT79" s="19"/>
      <c r="BMU79" s="19"/>
      <c r="BMV79" s="19"/>
      <c r="BMW79" s="19"/>
      <c r="BMX79" s="19"/>
      <c r="BMY79" s="19"/>
      <c r="BMZ79" s="19"/>
      <c r="BNA79" s="19"/>
      <c r="BNB79" s="19"/>
      <c r="BNC79" s="19"/>
      <c r="BND79" s="19"/>
      <c r="BNE79" s="19"/>
      <c r="BNF79" s="19"/>
      <c r="BNG79" s="19"/>
      <c r="BNH79" s="19"/>
      <c r="BNI79" s="19"/>
      <c r="BNJ79" s="19"/>
      <c r="BNK79" s="19"/>
      <c r="BNL79" s="19"/>
      <c r="BNM79" s="19"/>
      <c r="BNN79" s="19"/>
      <c r="BNO79" s="19"/>
      <c r="BNP79" s="19"/>
      <c r="BNQ79" s="19"/>
      <c r="BNR79" s="19"/>
      <c r="BNS79" s="19"/>
      <c r="BNT79" s="19"/>
      <c r="BNU79" s="19"/>
      <c r="BNV79" s="19"/>
      <c r="BNW79" s="19"/>
      <c r="BNX79" s="19"/>
      <c r="BNY79" s="19"/>
      <c r="BNZ79" s="19"/>
      <c r="BOA79" s="19"/>
      <c r="BOB79" s="19"/>
      <c r="BOC79" s="19"/>
      <c r="BOD79" s="19"/>
      <c r="BOE79" s="19"/>
      <c r="BOF79" s="19"/>
      <c r="BOG79" s="19"/>
      <c r="BOH79" s="19"/>
      <c r="BOI79" s="19"/>
      <c r="BOJ79" s="19"/>
      <c r="BOK79" s="19"/>
      <c r="BOL79" s="19"/>
      <c r="BOM79" s="19"/>
      <c r="BON79" s="19"/>
      <c r="BOO79" s="19"/>
      <c r="BOP79" s="19"/>
      <c r="BOQ79" s="19"/>
      <c r="BOR79" s="19"/>
      <c r="BOS79" s="19"/>
      <c r="BOT79" s="19"/>
      <c r="BOU79" s="19"/>
      <c r="BOV79" s="19"/>
      <c r="BOW79" s="19"/>
      <c r="BOX79" s="19"/>
      <c r="BOY79" s="19"/>
      <c r="BOZ79" s="19"/>
      <c r="BPA79" s="19"/>
      <c r="BPB79" s="19"/>
      <c r="BPC79" s="19"/>
      <c r="BPD79" s="19"/>
      <c r="BPE79" s="19"/>
      <c r="BPF79" s="19"/>
      <c r="BPG79" s="19"/>
      <c r="BPH79" s="19"/>
      <c r="BPI79" s="19"/>
      <c r="BPJ79" s="19"/>
      <c r="BPK79" s="19"/>
      <c r="BPL79" s="19"/>
      <c r="BPM79" s="19"/>
      <c r="BPN79" s="19"/>
      <c r="BPO79" s="19"/>
      <c r="BPP79" s="19"/>
      <c r="BPQ79" s="19"/>
      <c r="BPR79" s="19"/>
      <c r="BPS79" s="19"/>
      <c r="BPT79" s="19"/>
      <c r="BPU79" s="19"/>
      <c r="BPV79" s="19"/>
      <c r="BPW79" s="19"/>
      <c r="BPX79" s="19"/>
      <c r="BPY79" s="19"/>
      <c r="BPZ79" s="19"/>
      <c r="BQA79" s="19"/>
      <c r="BQB79" s="19"/>
      <c r="BQC79" s="19"/>
      <c r="BQD79" s="19"/>
      <c r="BQE79" s="19"/>
      <c r="BQF79" s="19"/>
      <c r="BQG79" s="19"/>
      <c r="BQH79" s="19"/>
      <c r="BQI79" s="19"/>
      <c r="BQJ79" s="19"/>
      <c r="BQK79" s="19"/>
      <c r="BQL79" s="19"/>
      <c r="BQM79" s="19"/>
      <c r="BQN79" s="19"/>
      <c r="BQO79" s="19"/>
      <c r="BQP79" s="19"/>
      <c r="BQQ79" s="19"/>
      <c r="BQR79" s="19"/>
      <c r="BQS79" s="19"/>
      <c r="BQT79" s="19"/>
      <c r="BQU79" s="19"/>
      <c r="BQV79" s="19"/>
      <c r="BQW79" s="19"/>
      <c r="BQX79" s="19"/>
      <c r="BQY79" s="19"/>
      <c r="BQZ79" s="19"/>
      <c r="BRA79" s="19"/>
      <c r="BRB79" s="19"/>
      <c r="BRC79" s="19"/>
      <c r="BRD79" s="19"/>
      <c r="BRE79" s="19"/>
      <c r="BRF79" s="19"/>
      <c r="BRG79" s="19"/>
      <c r="BRH79" s="19"/>
      <c r="BRI79" s="19"/>
      <c r="BRJ79" s="19"/>
      <c r="BRK79" s="19"/>
      <c r="BRL79" s="19"/>
      <c r="BRM79" s="19"/>
      <c r="BRN79" s="19"/>
      <c r="BRO79" s="19"/>
      <c r="BRP79" s="19"/>
      <c r="BRQ79" s="19"/>
      <c r="BRR79" s="19"/>
      <c r="BRS79" s="19"/>
      <c r="BRT79" s="19"/>
      <c r="BRU79" s="19"/>
      <c r="BRV79" s="19"/>
      <c r="BRW79" s="19"/>
      <c r="BRX79" s="19"/>
      <c r="BRY79" s="19"/>
      <c r="BRZ79" s="19"/>
      <c r="BSA79" s="19"/>
      <c r="BSB79" s="19"/>
      <c r="BSC79" s="19"/>
      <c r="BSD79" s="19"/>
      <c r="BSE79" s="19"/>
      <c r="BSF79" s="19"/>
      <c r="BSG79" s="19"/>
      <c r="BSH79" s="19"/>
      <c r="BSI79" s="19"/>
      <c r="BSJ79" s="19"/>
      <c r="BSK79" s="19"/>
      <c r="BSL79" s="19"/>
      <c r="BSM79" s="19"/>
      <c r="BSN79" s="19"/>
      <c r="BSO79" s="19"/>
      <c r="BSP79" s="19"/>
      <c r="BSQ79" s="19"/>
      <c r="BSR79" s="19"/>
      <c r="BSS79" s="19"/>
      <c r="BST79" s="19"/>
      <c r="BSU79" s="19"/>
      <c r="BSV79" s="19"/>
      <c r="BSW79" s="19"/>
      <c r="BSX79" s="19"/>
      <c r="BSY79" s="19"/>
      <c r="BSZ79" s="19"/>
      <c r="BTA79" s="19"/>
      <c r="BTB79" s="19"/>
      <c r="BTC79" s="19"/>
      <c r="BTD79" s="19"/>
      <c r="BTE79" s="19"/>
      <c r="BTF79" s="19"/>
      <c r="BTG79" s="19"/>
      <c r="BTH79" s="19"/>
      <c r="BTI79" s="19"/>
      <c r="BTJ79" s="19"/>
      <c r="BTK79" s="19"/>
      <c r="BTL79" s="19"/>
      <c r="BTM79" s="19"/>
      <c r="BTN79" s="19"/>
      <c r="BTO79" s="19"/>
      <c r="BTP79" s="19"/>
      <c r="BTQ79" s="19"/>
      <c r="BTR79" s="19"/>
      <c r="BTS79" s="19"/>
      <c r="BTT79" s="19"/>
      <c r="BTU79" s="19"/>
      <c r="BTV79" s="19"/>
      <c r="BTW79" s="19"/>
      <c r="BTX79" s="19"/>
      <c r="BTY79" s="19"/>
      <c r="BTZ79" s="19"/>
      <c r="BUA79" s="19"/>
      <c r="BUB79" s="19"/>
      <c r="BUC79" s="19"/>
      <c r="BUD79" s="19"/>
      <c r="BUE79" s="19"/>
      <c r="BUF79" s="19"/>
      <c r="BUG79" s="19"/>
      <c r="BUH79" s="19"/>
      <c r="BUI79" s="19"/>
      <c r="BUJ79" s="19"/>
      <c r="BUK79" s="19"/>
      <c r="BUL79" s="19"/>
      <c r="BUM79" s="19"/>
      <c r="BUN79" s="19"/>
      <c r="BUO79" s="19"/>
      <c r="BUP79" s="19"/>
      <c r="BUQ79" s="19"/>
      <c r="BUR79" s="19"/>
      <c r="BUS79" s="19"/>
      <c r="BUT79" s="19"/>
      <c r="BUU79" s="19"/>
      <c r="BUV79" s="19"/>
      <c r="BUW79" s="19"/>
      <c r="BUX79" s="19"/>
      <c r="BUY79" s="19"/>
      <c r="BUZ79" s="19"/>
      <c r="BVA79" s="19"/>
      <c r="BVB79" s="19"/>
      <c r="BVC79" s="19"/>
      <c r="BVD79" s="19"/>
      <c r="BVE79" s="19"/>
      <c r="BVF79" s="19"/>
      <c r="BVG79" s="19"/>
      <c r="BVH79" s="19"/>
      <c r="BVI79" s="19"/>
      <c r="BVJ79" s="19"/>
      <c r="BVK79" s="19"/>
      <c r="BVL79" s="19"/>
      <c r="BVM79" s="19"/>
      <c r="BVN79" s="19"/>
      <c r="BVO79" s="19"/>
      <c r="BVP79" s="19"/>
      <c r="BVQ79" s="19"/>
      <c r="BVR79" s="19"/>
      <c r="BVS79" s="19"/>
      <c r="BVT79" s="19"/>
      <c r="BVU79" s="19"/>
      <c r="BVV79" s="19"/>
      <c r="BVW79" s="19"/>
      <c r="BVX79" s="19"/>
      <c r="BVY79" s="19"/>
      <c r="BVZ79" s="19"/>
      <c r="BWA79" s="19"/>
      <c r="BWB79" s="19"/>
      <c r="BWC79" s="19"/>
      <c r="BWD79" s="19"/>
      <c r="BWE79" s="19"/>
      <c r="BWF79" s="19"/>
      <c r="BWG79" s="19"/>
      <c r="BWH79" s="19"/>
      <c r="BWI79" s="19"/>
      <c r="BWJ79" s="19"/>
      <c r="BWK79" s="19"/>
      <c r="BWL79" s="19"/>
      <c r="BWM79" s="19"/>
      <c r="BWN79" s="19"/>
      <c r="BWO79" s="19"/>
      <c r="BWP79" s="19"/>
      <c r="BWQ79" s="19"/>
      <c r="BWR79" s="19"/>
      <c r="BWS79" s="19"/>
      <c r="BWT79" s="19"/>
      <c r="BWU79" s="19"/>
      <c r="BWV79" s="19"/>
      <c r="BWW79" s="19"/>
      <c r="BWX79" s="19"/>
      <c r="BWY79" s="19"/>
      <c r="BWZ79" s="19"/>
      <c r="BXA79" s="19"/>
      <c r="BXB79" s="19"/>
      <c r="BXC79" s="19"/>
      <c r="BXD79" s="19"/>
      <c r="BXE79" s="19"/>
      <c r="BXF79" s="19"/>
      <c r="BXG79" s="19"/>
      <c r="BXH79" s="19"/>
      <c r="BXI79" s="19"/>
      <c r="BXJ79" s="19"/>
      <c r="BXK79" s="19"/>
      <c r="BXL79" s="19"/>
      <c r="BXM79" s="19"/>
      <c r="BXN79" s="19"/>
      <c r="BXO79" s="19"/>
      <c r="BXP79" s="19"/>
      <c r="BXQ79" s="19"/>
      <c r="BXR79" s="19"/>
      <c r="BXS79" s="19"/>
      <c r="BXT79" s="19"/>
      <c r="BXU79" s="19"/>
      <c r="BXV79" s="19"/>
      <c r="BXW79" s="19"/>
      <c r="BXX79" s="19"/>
      <c r="BXY79" s="19"/>
      <c r="BXZ79" s="19"/>
      <c r="BYA79" s="19"/>
      <c r="BYB79" s="19"/>
      <c r="BYC79" s="19"/>
      <c r="BYD79" s="19"/>
      <c r="BYE79" s="19"/>
      <c r="BYF79" s="19"/>
      <c r="BYG79" s="19"/>
      <c r="BYH79" s="19"/>
      <c r="BYI79" s="19"/>
      <c r="BYJ79" s="19"/>
      <c r="BYK79" s="19"/>
      <c r="BYL79" s="19"/>
      <c r="BYM79" s="19"/>
      <c r="BYN79" s="19"/>
      <c r="BYO79" s="19"/>
      <c r="BYP79" s="19"/>
      <c r="BYQ79" s="19"/>
      <c r="BYR79" s="19"/>
      <c r="BYS79" s="19"/>
      <c r="BYT79" s="19"/>
      <c r="BYU79" s="19"/>
      <c r="BYV79" s="19"/>
      <c r="BYW79" s="19"/>
      <c r="BYX79" s="19"/>
      <c r="BYY79" s="19"/>
      <c r="BYZ79" s="19"/>
      <c r="BZA79" s="19"/>
      <c r="BZB79" s="19"/>
      <c r="BZC79" s="19"/>
      <c r="BZD79" s="19"/>
      <c r="BZE79" s="19"/>
      <c r="BZF79" s="19"/>
      <c r="BZG79" s="19"/>
      <c r="BZH79" s="19"/>
      <c r="BZI79" s="19"/>
      <c r="BZJ79" s="19"/>
      <c r="BZK79" s="19"/>
      <c r="BZL79" s="19"/>
      <c r="BZM79" s="19"/>
      <c r="BZN79" s="19"/>
      <c r="BZO79" s="19"/>
      <c r="BZP79" s="19"/>
      <c r="BZQ79" s="19"/>
      <c r="BZR79" s="19"/>
      <c r="BZS79" s="19"/>
      <c r="BZT79" s="19"/>
      <c r="BZU79" s="19"/>
      <c r="BZV79" s="19"/>
      <c r="BZW79" s="19"/>
      <c r="BZX79" s="19"/>
      <c r="BZY79" s="19"/>
      <c r="BZZ79" s="19"/>
      <c r="CAA79" s="19"/>
      <c r="CAB79" s="19"/>
      <c r="CAC79" s="19"/>
      <c r="CAD79" s="19"/>
      <c r="CAE79" s="19"/>
      <c r="CAF79" s="19"/>
      <c r="CAG79" s="19"/>
      <c r="CAH79" s="19"/>
      <c r="CAI79" s="19"/>
      <c r="CAJ79" s="19"/>
      <c r="CAK79" s="19"/>
      <c r="CAL79" s="19"/>
      <c r="CAM79" s="19"/>
      <c r="CAN79" s="19"/>
      <c r="CAO79" s="19"/>
      <c r="CAP79" s="19"/>
      <c r="CAQ79" s="19"/>
      <c r="CAR79" s="19"/>
      <c r="CAS79" s="19"/>
      <c r="CAT79" s="19"/>
      <c r="CAU79" s="19"/>
      <c r="CAV79" s="19"/>
      <c r="CAW79" s="19"/>
      <c r="CAX79" s="19"/>
      <c r="CAY79" s="19"/>
      <c r="CAZ79" s="19"/>
      <c r="CBA79" s="19"/>
      <c r="CBB79" s="19"/>
      <c r="CBC79" s="19"/>
      <c r="CBD79" s="19"/>
      <c r="CBE79" s="19"/>
      <c r="CBF79" s="19"/>
      <c r="CBG79" s="19"/>
      <c r="CBH79" s="19"/>
      <c r="CBI79" s="19"/>
      <c r="CBJ79" s="19"/>
      <c r="CBK79" s="19"/>
      <c r="CBL79" s="19"/>
      <c r="CBM79" s="19"/>
      <c r="CBN79" s="19"/>
      <c r="CBO79" s="19"/>
      <c r="CBP79" s="19"/>
      <c r="CBQ79" s="19"/>
      <c r="CBR79" s="19"/>
      <c r="CBS79" s="19"/>
      <c r="CBT79" s="19"/>
      <c r="CBU79" s="19"/>
      <c r="CBV79" s="19"/>
      <c r="CBW79" s="19"/>
      <c r="CBX79" s="19"/>
      <c r="CBY79" s="19"/>
      <c r="CBZ79" s="19"/>
      <c r="CCA79" s="19"/>
      <c r="CCB79" s="19"/>
      <c r="CCC79" s="19"/>
      <c r="CCD79" s="19"/>
      <c r="CCE79" s="19"/>
      <c r="CCF79" s="19"/>
      <c r="CCG79" s="19"/>
      <c r="CCH79" s="19"/>
      <c r="CCI79" s="19"/>
      <c r="CCJ79" s="19"/>
      <c r="CCK79" s="19"/>
      <c r="CCL79" s="19"/>
      <c r="CCM79" s="19"/>
      <c r="CCN79" s="19"/>
      <c r="CCO79" s="19"/>
      <c r="CCP79" s="19"/>
      <c r="CCQ79" s="19"/>
      <c r="CCR79" s="19"/>
      <c r="CCS79" s="19"/>
      <c r="CCT79" s="19"/>
      <c r="CCU79" s="19"/>
      <c r="CCV79" s="19"/>
      <c r="CCW79" s="19"/>
      <c r="CCX79" s="19"/>
      <c r="CCY79" s="19"/>
      <c r="CCZ79" s="19"/>
      <c r="CDA79" s="19"/>
      <c r="CDB79" s="19"/>
      <c r="CDC79" s="19"/>
      <c r="CDD79" s="19"/>
      <c r="CDE79" s="19"/>
      <c r="CDF79" s="19"/>
      <c r="CDG79" s="19"/>
      <c r="CDH79" s="19"/>
      <c r="CDI79" s="19"/>
      <c r="CDJ79" s="19"/>
      <c r="CDK79" s="19"/>
      <c r="CDL79" s="19"/>
      <c r="CDM79" s="19"/>
      <c r="CDN79" s="19"/>
      <c r="CDO79" s="19"/>
      <c r="CDP79" s="19"/>
      <c r="CDQ79" s="19"/>
      <c r="CDR79" s="19"/>
      <c r="CDS79" s="19"/>
      <c r="CDT79" s="19"/>
      <c r="CDU79" s="19"/>
      <c r="CDV79" s="19"/>
      <c r="CDW79" s="19"/>
      <c r="CDX79" s="19"/>
      <c r="CDY79" s="19"/>
      <c r="CDZ79" s="19"/>
      <c r="CEA79" s="19"/>
      <c r="CEB79" s="19"/>
      <c r="CEC79" s="19"/>
      <c r="CED79" s="19"/>
      <c r="CEE79" s="19"/>
      <c r="CEF79" s="19"/>
      <c r="CEG79" s="19"/>
      <c r="CEH79" s="19"/>
      <c r="CEI79" s="19"/>
      <c r="CEJ79" s="19"/>
      <c r="CEK79" s="19"/>
      <c r="CEL79" s="19"/>
      <c r="CEM79" s="19"/>
      <c r="CEN79" s="19"/>
      <c r="CEO79" s="19"/>
      <c r="CEP79" s="19"/>
      <c r="CEQ79" s="19"/>
      <c r="CER79" s="19"/>
      <c r="CES79" s="19"/>
      <c r="CET79" s="19"/>
      <c r="CEU79" s="19"/>
      <c r="CEV79" s="19"/>
      <c r="CEW79" s="19"/>
      <c r="CEX79" s="19"/>
      <c r="CEY79" s="19"/>
      <c r="CEZ79" s="19"/>
      <c r="CFA79" s="19"/>
      <c r="CFB79" s="19"/>
      <c r="CFC79" s="19"/>
      <c r="CFD79" s="19"/>
      <c r="CFE79" s="19"/>
      <c r="CFF79" s="19"/>
      <c r="CFG79" s="19"/>
      <c r="CFH79" s="19"/>
      <c r="CFI79" s="19"/>
      <c r="CFJ79" s="19"/>
      <c r="CFK79" s="19"/>
      <c r="CFL79" s="19"/>
      <c r="CFM79" s="19"/>
      <c r="CFN79" s="19"/>
      <c r="CFO79" s="19"/>
      <c r="CFP79" s="19"/>
      <c r="CFQ79" s="19"/>
      <c r="CFR79" s="19"/>
      <c r="CFS79" s="19"/>
      <c r="CFT79" s="19"/>
      <c r="CFU79" s="19"/>
      <c r="CFV79" s="19"/>
      <c r="CFW79" s="19"/>
      <c r="CFX79" s="19"/>
      <c r="CFY79" s="19"/>
      <c r="CFZ79" s="19"/>
      <c r="CGA79" s="19"/>
      <c r="CGB79" s="19"/>
      <c r="CGC79" s="19"/>
      <c r="CGD79" s="19"/>
      <c r="CGE79" s="19"/>
      <c r="CGF79" s="19"/>
      <c r="CGG79" s="19"/>
      <c r="CGH79" s="19"/>
      <c r="CGI79" s="19"/>
      <c r="CGJ79" s="19"/>
      <c r="CGK79" s="19"/>
      <c r="CGL79" s="19"/>
      <c r="CGM79" s="19"/>
      <c r="CGN79" s="19"/>
      <c r="CGO79" s="19"/>
      <c r="CGP79" s="19"/>
      <c r="CGQ79" s="19"/>
      <c r="CGR79" s="19"/>
      <c r="CGS79" s="19"/>
      <c r="CGT79" s="19"/>
      <c r="CGU79" s="19"/>
      <c r="CGV79" s="19"/>
      <c r="CGW79" s="19"/>
      <c r="CGX79" s="19"/>
      <c r="CGY79" s="19"/>
      <c r="CGZ79" s="19"/>
      <c r="CHA79" s="19"/>
      <c r="CHB79" s="19"/>
      <c r="CHC79" s="19"/>
      <c r="CHD79" s="19"/>
      <c r="CHE79" s="19"/>
      <c r="CHF79" s="19"/>
      <c r="CHG79" s="19"/>
      <c r="CHH79" s="19"/>
      <c r="CHI79" s="19"/>
      <c r="CHJ79" s="19"/>
      <c r="CHK79" s="19"/>
      <c r="CHL79" s="19"/>
      <c r="CHM79" s="19"/>
      <c r="CHN79" s="19"/>
      <c r="CHO79" s="19"/>
      <c r="CHP79" s="19"/>
      <c r="CHQ79" s="19"/>
      <c r="CHR79" s="19"/>
      <c r="CHS79" s="19"/>
      <c r="CHT79" s="19"/>
      <c r="CHU79" s="19"/>
      <c r="CHV79" s="19"/>
      <c r="CHW79" s="19"/>
      <c r="CHX79" s="19"/>
      <c r="CHY79" s="19"/>
      <c r="CHZ79" s="19"/>
      <c r="CIA79" s="19"/>
      <c r="CIB79" s="19"/>
      <c r="CIC79" s="19"/>
      <c r="CID79" s="19"/>
      <c r="CIE79" s="19"/>
      <c r="CIF79" s="19"/>
      <c r="CIG79" s="19"/>
      <c r="CIH79" s="19"/>
      <c r="CII79" s="19"/>
      <c r="CIJ79" s="19"/>
      <c r="CIK79" s="19"/>
      <c r="CIL79" s="19"/>
      <c r="CIM79" s="19"/>
      <c r="CIN79" s="19"/>
      <c r="CIO79" s="19"/>
      <c r="CIP79" s="19"/>
      <c r="CIQ79" s="19"/>
      <c r="CIR79" s="19"/>
      <c r="CIS79" s="19"/>
      <c r="CIT79" s="19"/>
      <c r="CIU79" s="19"/>
      <c r="CIV79" s="19"/>
      <c r="CIW79" s="19"/>
      <c r="CIX79" s="19"/>
      <c r="CIY79" s="19"/>
      <c r="CIZ79" s="19"/>
      <c r="CJA79" s="19"/>
      <c r="CJB79" s="19"/>
      <c r="CJC79" s="19"/>
      <c r="CJD79" s="19"/>
      <c r="CJE79" s="19"/>
      <c r="CJF79" s="19"/>
      <c r="CJG79" s="19"/>
      <c r="CJH79" s="19"/>
      <c r="CJI79" s="19"/>
      <c r="CJJ79" s="19"/>
      <c r="CJK79" s="19"/>
      <c r="CJL79" s="19"/>
      <c r="CJM79" s="19"/>
      <c r="CJN79" s="19"/>
      <c r="CJO79" s="19"/>
      <c r="CJP79" s="19"/>
      <c r="CJQ79" s="19"/>
      <c r="CJR79" s="19"/>
      <c r="CJS79" s="19"/>
      <c r="CJT79" s="19"/>
      <c r="CJU79" s="19"/>
      <c r="CJV79" s="19"/>
      <c r="CJW79" s="19"/>
      <c r="CJX79" s="19"/>
      <c r="CJY79" s="19"/>
      <c r="CJZ79" s="19"/>
      <c r="CKA79" s="19"/>
      <c r="CKB79" s="19"/>
      <c r="CKC79" s="19"/>
      <c r="CKD79" s="19"/>
      <c r="CKE79" s="19"/>
      <c r="CKF79" s="19"/>
      <c r="CKG79" s="19"/>
      <c r="CKH79" s="19"/>
      <c r="CKI79" s="19"/>
      <c r="CKJ79" s="19"/>
      <c r="CKK79" s="19"/>
      <c r="CKL79" s="19"/>
      <c r="CKM79" s="19"/>
      <c r="CKN79" s="19"/>
      <c r="CKO79" s="19"/>
      <c r="CKP79" s="19"/>
      <c r="CKQ79" s="19"/>
      <c r="CKR79" s="19"/>
      <c r="CKS79" s="19"/>
      <c r="CKT79" s="19"/>
      <c r="CKU79" s="19"/>
      <c r="CKV79" s="19"/>
      <c r="CKW79" s="19"/>
      <c r="CKX79" s="19"/>
      <c r="CKY79" s="19"/>
      <c r="CKZ79" s="19"/>
      <c r="CLA79" s="19"/>
      <c r="CLB79" s="19"/>
      <c r="CLC79" s="19"/>
      <c r="CLD79" s="19"/>
      <c r="CLE79" s="19"/>
      <c r="CLF79" s="19"/>
      <c r="CLG79" s="19"/>
      <c r="CLH79" s="19"/>
      <c r="CLI79" s="19"/>
      <c r="CLJ79" s="19"/>
      <c r="CLK79" s="19"/>
      <c r="CLL79" s="19"/>
      <c r="CLM79" s="19"/>
      <c r="CLN79" s="19"/>
      <c r="CLO79" s="19"/>
      <c r="CLP79" s="19"/>
      <c r="CLQ79" s="19"/>
      <c r="CLR79" s="19"/>
      <c r="CLS79" s="19"/>
      <c r="CLT79" s="19"/>
      <c r="CLU79" s="19"/>
      <c r="CLV79" s="19"/>
      <c r="CLW79" s="19"/>
      <c r="CLX79" s="19"/>
      <c r="CLY79" s="19"/>
      <c r="CLZ79" s="19"/>
      <c r="CMA79" s="19"/>
      <c r="CMB79" s="19"/>
      <c r="CMC79" s="19"/>
      <c r="CMD79" s="19"/>
      <c r="CME79" s="19"/>
      <c r="CMF79" s="19"/>
      <c r="CMG79" s="19"/>
      <c r="CMH79" s="19"/>
      <c r="CMI79" s="19"/>
      <c r="CMJ79" s="19"/>
      <c r="CMK79" s="19"/>
      <c r="CML79" s="19"/>
      <c r="CMM79" s="19"/>
      <c r="CMN79" s="19"/>
      <c r="CMO79" s="19"/>
      <c r="CMP79" s="19"/>
      <c r="CMQ79" s="19"/>
      <c r="CMR79" s="19"/>
      <c r="CMS79" s="19"/>
      <c r="CMT79" s="19"/>
      <c r="CMU79" s="19"/>
      <c r="CMV79" s="19"/>
      <c r="CMW79" s="19"/>
      <c r="CMX79" s="19"/>
      <c r="CMY79" s="19"/>
      <c r="CMZ79" s="19"/>
      <c r="CNA79" s="19"/>
      <c r="CNB79" s="19"/>
      <c r="CNC79" s="19"/>
      <c r="CND79" s="19"/>
      <c r="CNE79" s="19"/>
      <c r="CNF79" s="19"/>
      <c r="CNG79" s="19"/>
      <c r="CNH79" s="19"/>
      <c r="CNI79" s="19"/>
      <c r="CNJ79" s="19"/>
      <c r="CNK79" s="19"/>
      <c r="CNL79" s="19"/>
      <c r="CNM79" s="19"/>
      <c r="CNN79" s="19"/>
      <c r="CNO79" s="19"/>
      <c r="CNP79" s="19"/>
      <c r="CNQ79" s="19"/>
      <c r="CNR79" s="19"/>
      <c r="CNS79" s="19"/>
      <c r="CNT79" s="19"/>
      <c r="CNU79" s="19"/>
      <c r="CNV79" s="19"/>
      <c r="CNW79" s="19"/>
      <c r="CNX79" s="19"/>
      <c r="CNY79" s="19"/>
      <c r="CNZ79" s="19"/>
      <c r="COA79" s="19"/>
      <c r="COB79" s="19"/>
      <c r="COC79" s="19"/>
      <c r="COD79" s="19"/>
      <c r="COE79" s="19"/>
      <c r="COF79" s="19"/>
      <c r="COG79" s="19"/>
      <c r="COH79" s="19"/>
      <c r="COI79" s="19"/>
      <c r="COJ79" s="19"/>
      <c r="COK79" s="19"/>
      <c r="COL79" s="19"/>
      <c r="COM79" s="19"/>
      <c r="CON79" s="19"/>
      <c r="COO79" s="19"/>
      <c r="COP79" s="19"/>
      <c r="COQ79" s="19"/>
      <c r="COR79" s="19"/>
      <c r="COS79" s="19"/>
      <c r="COT79" s="19"/>
      <c r="COU79" s="19"/>
      <c r="COV79" s="19"/>
      <c r="COW79" s="19"/>
      <c r="COX79" s="19"/>
      <c r="COY79" s="19"/>
      <c r="COZ79" s="19"/>
      <c r="CPA79" s="19"/>
      <c r="CPB79" s="19"/>
      <c r="CPC79" s="19"/>
      <c r="CPD79" s="19"/>
      <c r="CPE79" s="19"/>
      <c r="CPF79" s="19"/>
      <c r="CPG79" s="19"/>
      <c r="CPH79" s="19"/>
      <c r="CPI79" s="19"/>
      <c r="CPJ79" s="19"/>
      <c r="CPK79" s="19"/>
      <c r="CPL79" s="19"/>
      <c r="CPM79" s="19"/>
      <c r="CPN79" s="19"/>
      <c r="CPO79" s="19"/>
      <c r="CPP79" s="19"/>
      <c r="CPQ79" s="19"/>
      <c r="CPR79" s="19"/>
      <c r="CPS79" s="19"/>
      <c r="CPT79" s="19"/>
      <c r="CPU79" s="19"/>
      <c r="CPV79" s="19"/>
      <c r="CPW79" s="19"/>
      <c r="CPX79" s="19"/>
      <c r="CPY79" s="19"/>
      <c r="CPZ79" s="19"/>
      <c r="CQA79" s="19"/>
      <c r="CQB79" s="19"/>
      <c r="CQC79" s="19"/>
      <c r="CQD79" s="19"/>
      <c r="CQE79" s="19"/>
      <c r="CQF79" s="19"/>
      <c r="CQG79" s="19"/>
      <c r="CQH79" s="19"/>
      <c r="CQI79" s="19"/>
      <c r="CQJ79" s="19"/>
      <c r="CQK79" s="19"/>
      <c r="CQL79" s="19"/>
      <c r="CQM79" s="19"/>
      <c r="CQN79" s="19"/>
      <c r="CQO79" s="19"/>
      <c r="CQP79" s="19"/>
      <c r="CQQ79" s="19"/>
      <c r="CQR79" s="19"/>
      <c r="CQS79" s="19"/>
      <c r="CQT79" s="19"/>
      <c r="CQU79" s="19"/>
      <c r="CQV79" s="19"/>
      <c r="CQW79" s="19"/>
      <c r="CQX79" s="19"/>
      <c r="CQY79" s="19"/>
      <c r="CQZ79" s="19"/>
      <c r="CRA79" s="19"/>
      <c r="CRB79" s="19"/>
      <c r="CRC79" s="19"/>
      <c r="CRD79" s="19"/>
      <c r="CRE79" s="19"/>
      <c r="CRF79" s="19"/>
      <c r="CRG79" s="19"/>
      <c r="CRH79" s="19"/>
      <c r="CRI79" s="19"/>
      <c r="CRJ79" s="19"/>
      <c r="CRK79" s="19"/>
      <c r="CRL79" s="19"/>
      <c r="CRM79" s="19"/>
      <c r="CRN79" s="19"/>
      <c r="CRO79" s="19"/>
      <c r="CRP79" s="19"/>
      <c r="CRQ79" s="19"/>
      <c r="CRR79" s="19"/>
      <c r="CRS79" s="19"/>
      <c r="CRT79" s="19"/>
      <c r="CRU79" s="19"/>
      <c r="CRV79" s="19"/>
      <c r="CRW79" s="19"/>
      <c r="CRX79" s="19"/>
      <c r="CRY79" s="19"/>
      <c r="CRZ79" s="19"/>
      <c r="CSA79" s="19"/>
      <c r="CSB79" s="19"/>
      <c r="CSC79" s="19"/>
      <c r="CSD79" s="19"/>
      <c r="CSE79" s="19"/>
      <c r="CSF79" s="19"/>
      <c r="CSG79" s="19"/>
      <c r="CSH79" s="19"/>
      <c r="CSI79" s="19"/>
      <c r="CSJ79" s="19"/>
      <c r="CSK79" s="19"/>
      <c r="CSL79" s="19"/>
      <c r="CSM79" s="19"/>
      <c r="CSN79" s="19"/>
      <c r="CSO79" s="19"/>
      <c r="CSP79" s="19"/>
      <c r="CSQ79" s="19"/>
      <c r="CSR79" s="19"/>
      <c r="CSS79" s="19"/>
      <c r="CST79" s="19"/>
      <c r="CSU79" s="19"/>
      <c r="CSV79" s="19"/>
      <c r="CSW79" s="19"/>
      <c r="CSX79" s="19"/>
      <c r="CSY79" s="19"/>
      <c r="CSZ79" s="19"/>
      <c r="CTA79" s="19"/>
      <c r="CTB79" s="19"/>
      <c r="CTC79" s="19"/>
      <c r="CTD79" s="19"/>
      <c r="CTE79" s="19"/>
      <c r="CTF79" s="19"/>
      <c r="CTG79" s="19"/>
      <c r="CTH79" s="19"/>
      <c r="CTI79" s="19"/>
      <c r="CTJ79" s="19"/>
      <c r="CTK79" s="19"/>
      <c r="CTL79" s="19"/>
      <c r="CTM79" s="19"/>
      <c r="CTN79" s="19"/>
      <c r="CTO79" s="19"/>
      <c r="CTP79" s="19"/>
      <c r="CTQ79" s="19"/>
      <c r="CTR79" s="19"/>
      <c r="CTS79" s="19"/>
      <c r="CTT79" s="19"/>
      <c r="CTU79" s="19"/>
      <c r="CTV79" s="19"/>
      <c r="CTW79" s="19"/>
      <c r="CTX79" s="19"/>
      <c r="CTY79" s="19"/>
      <c r="CTZ79" s="19"/>
      <c r="CUA79" s="19"/>
    </row>
    <row r="80" s="21" customFormat="1" ht="22.5" customHeight="1" spans="1:2575">
      <c r="A80" s="50"/>
      <c r="B80" s="102"/>
      <c r="C80" s="103"/>
      <c r="D80" s="167"/>
      <c r="E80" s="115"/>
      <c r="F80" s="132"/>
      <c r="G80" s="132"/>
      <c r="H80" s="112" t="s">
        <v>155</v>
      </c>
      <c r="I80" s="20">
        <v>34.3306</v>
      </c>
      <c r="J80" s="150">
        <v>81.0607</v>
      </c>
      <c r="K80" s="150"/>
      <c r="L80" s="148">
        <f t="shared" si="62"/>
        <v>7.82051068</v>
      </c>
      <c r="M80" s="148">
        <f t="shared" si="63"/>
        <v>4.74105586</v>
      </c>
      <c r="N80" s="148">
        <f t="shared" si="56"/>
        <v>17.2736369829</v>
      </c>
      <c r="O80" s="148">
        <f t="shared" si="64"/>
        <v>6.86612</v>
      </c>
      <c r="P80" s="148">
        <f t="shared" si="65"/>
        <v>6.19324024</v>
      </c>
      <c r="Q80" s="148">
        <f t="shared" si="66"/>
        <v>15.9552150673003</v>
      </c>
      <c r="R80" s="148">
        <f t="shared" si="67"/>
        <v>174.2410788302</v>
      </c>
      <c r="T80" s="19" t="s">
        <v>156</v>
      </c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K80" s="19"/>
      <c r="AML80" s="19"/>
      <c r="AMM80" s="19"/>
      <c r="AMN80" s="19"/>
      <c r="AMO80" s="19"/>
      <c r="AMP80" s="19"/>
      <c r="AMQ80" s="19"/>
      <c r="AMR80" s="19"/>
      <c r="AMS80" s="19"/>
      <c r="AMT80" s="19"/>
      <c r="AMU80" s="19"/>
      <c r="AMV80" s="19"/>
      <c r="AMW80" s="19"/>
      <c r="AMX80" s="19"/>
      <c r="AMY80" s="19"/>
      <c r="AMZ80" s="19"/>
      <c r="ANA80" s="19"/>
      <c r="ANB80" s="19"/>
      <c r="ANC80" s="19"/>
      <c r="AND80" s="19"/>
      <c r="ANE80" s="19"/>
      <c r="ANF80" s="19"/>
      <c r="ANG80" s="19"/>
      <c r="ANH80" s="19"/>
      <c r="ANI80" s="19"/>
      <c r="ANJ80" s="19"/>
      <c r="ANK80" s="19"/>
      <c r="ANL80" s="19"/>
      <c r="ANM80" s="19"/>
      <c r="ANN80" s="19"/>
      <c r="ANO80" s="19"/>
      <c r="ANP80" s="19"/>
      <c r="ANQ80" s="19"/>
      <c r="ANR80" s="19"/>
      <c r="ANS80" s="19"/>
      <c r="ANT80" s="19"/>
      <c r="ANU80" s="19"/>
      <c r="ANV80" s="19"/>
      <c r="ANW80" s="19"/>
      <c r="ANX80" s="19"/>
      <c r="ANY80" s="19"/>
      <c r="ANZ80" s="19"/>
      <c r="AOA80" s="19"/>
      <c r="AOB80" s="19"/>
      <c r="AOC80" s="19"/>
      <c r="AOD80" s="19"/>
      <c r="AOE80" s="19"/>
      <c r="AOF80" s="19"/>
      <c r="AOG80" s="19"/>
      <c r="AOH80" s="19"/>
      <c r="AOI80" s="19"/>
      <c r="AOJ80" s="19"/>
      <c r="AOK80" s="19"/>
      <c r="AOL80" s="19"/>
      <c r="AOM80" s="19"/>
      <c r="AON80" s="19"/>
      <c r="AOO80" s="19"/>
      <c r="AOP80" s="19"/>
      <c r="AOQ80" s="19"/>
      <c r="AOR80" s="19"/>
      <c r="AOS80" s="19"/>
      <c r="AOT80" s="19"/>
      <c r="AOU80" s="19"/>
      <c r="AOV80" s="19"/>
      <c r="AOW80" s="19"/>
      <c r="AOX80" s="19"/>
      <c r="AOY80" s="19"/>
      <c r="AOZ80" s="19"/>
      <c r="APA80" s="19"/>
      <c r="APB80" s="19"/>
      <c r="APC80" s="19"/>
      <c r="APD80" s="19"/>
      <c r="APE80" s="19"/>
      <c r="APF80" s="19"/>
      <c r="APG80" s="19"/>
      <c r="APH80" s="19"/>
      <c r="API80" s="19"/>
      <c r="APJ80" s="19"/>
      <c r="APK80" s="19"/>
      <c r="APL80" s="19"/>
      <c r="APM80" s="19"/>
      <c r="APN80" s="19"/>
      <c r="APO80" s="19"/>
      <c r="APP80" s="19"/>
      <c r="APQ80" s="19"/>
      <c r="APR80" s="19"/>
      <c r="APS80" s="19"/>
      <c r="APT80" s="19"/>
      <c r="APU80" s="19"/>
      <c r="APV80" s="19"/>
      <c r="APW80" s="19"/>
      <c r="APX80" s="19"/>
      <c r="APY80" s="19"/>
      <c r="APZ80" s="19"/>
      <c r="AQA80" s="19"/>
      <c r="AQB80" s="19"/>
      <c r="AQC80" s="19"/>
      <c r="AQD80" s="19"/>
      <c r="AQE80" s="19"/>
      <c r="AQF80" s="19"/>
      <c r="AQG80" s="19"/>
      <c r="AQH80" s="19"/>
      <c r="AQI80" s="19"/>
      <c r="AQJ80" s="19"/>
      <c r="AQK80" s="19"/>
      <c r="AQL80" s="19"/>
      <c r="AQM80" s="19"/>
      <c r="AQN80" s="19"/>
      <c r="AQO80" s="19"/>
      <c r="AQP80" s="19"/>
      <c r="AQQ80" s="19"/>
      <c r="AQR80" s="19"/>
      <c r="AQS80" s="19"/>
      <c r="AQT80" s="19"/>
      <c r="AQU80" s="19"/>
      <c r="AQV80" s="19"/>
      <c r="AQW80" s="19"/>
      <c r="AQX80" s="19"/>
      <c r="AQY80" s="19"/>
      <c r="AQZ80" s="19"/>
      <c r="ARA80" s="19"/>
      <c r="ARB80" s="19"/>
      <c r="ARC80" s="19"/>
      <c r="ARD80" s="19"/>
      <c r="ARE80" s="19"/>
      <c r="ARF80" s="19"/>
      <c r="ARG80" s="19"/>
      <c r="ARH80" s="19"/>
      <c r="ARI80" s="19"/>
      <c r="ARJ80" s="19"/>
      <c r="ARK80" s="19"/>
      <c r="ARL80" s="19"/>
      <c r="ARM80" s="19"/>
      <c r="ARN80" s="19"/>
      <c r="ARO80" s="19"/>
      <c r="ARP80" s="19"/>
      <c r="ARQ80" s="19"/>
      <c r="ARR80" s="19"/>
      <c r="ARS80" s="19"/>
      <c r="ART80" s="19"/>
      <c r="ARU80" s="19"/>
      <c r="ARV80" s="19"/>
      <c r="ARW80" s="19"/>
      <c r="ARX80" s="19"/>
      <c r="ARY80" s="19"/>
      <c r="ARZ80" s="19"/>
      <c r="ASA80" s="19"/>
      <c r="ASB80" s="19"/>
      <c r="ASC80" s="19"/>
      <c r="ASD80" s="19"/>
      <c r="ASE80" s="19"/>
      <c r="ASF80" s="19"/>
      <c r="ASG80" s="19"/>
      <c r="ASH80" s="19"/>
      <c r="ASI80" s="19"/>
      <c r="ASJ80" s="19"/>
      <c r="ASK80" s="19"/>
      <c r="ASL80" s="19"/>
      <c r="ASM80" s="19"/>
      <c r="ASN80" s="19"/>
      <c r="ASO80" s="19"/>
      <c r="ASP80" s="19"/>
      <c r="ASQ80" s="19"/>
      <c r="ASR80" s="19"/>
      <c r="ASS80" s="19"/>
      <c r="AST80" s="19"/>
      <c r="ASU80" s="19"/>
      <c r="ASV80" s="19"/>
      <c r="ASW80" s="19"/>
      <c r="ASX80" s="19"/>
      <c r="ASY80" s="19"/>
      <c r="ASZ80" s="19"/>
      <c r="ATA80" s="19"/>
      <c r="ATB80" s="19"/>
      <c r="ATC80" s="19"/>
      <c r="ATD80" s="19"/>
      <c r="ATE80" s="19"/>
      <c r="ATF80" s="19"/>
      <c r="ATG80" s="19"/>
      <c r="ATH80" s="19"/>
      <c r="ATI80" s="19"/>
      <c r="ATJ80" s="19"/>
      <c r="ATK80" s="19"/>
      <c r="ATL80" s="19"/>
      <c r="ATM80" s="19"/>
      <c r="ATN80" s="19"/>
      <c r="ATO80" s="19"/>
      <c r="ATP80" s="19"/>
      <c r="ATQ80" s="19"/>
      <c r="ATR80" s="19"/>
      <c r="ATS80" s="19"/>
      <c r="ATT80" s="19"/>
      <c r="ATU80" s="19"/>
      <c r="ATV80" s="19"/>
      <c r="ATW80" s="19"/>
      <c r="ATX80" s="19"/>
      <c r="ATY80" s="19"/>
      <c r="ATZ80" s="19"/>
      <c r="AUA80" s="19"/>
      <c r="AUB80" s="19"/>
      <c r="AUC80" s="19"/>
      <c r="AUD80" s="19"/>
      <c r="AUE80" s="19"/>
      <c r="AUF80" s="19"/>
      <c r="AUG80" s="19"/>
      <c r="AUH80" s="19"/>
      <c r="AUI80" s="19"/>
      <c r="AUJ80" s="19"/>
      <c r="AUK80" s="19"/>
      <c r="AUL80" s="19"/>
      <c r="AUM80" s="19"/>
      <c r="AUN80" s="19"/>
      <c r="AUO80" s="19"/>
      <c r="AUP80" s="19"/>
      <c r="AUQ80" s="19"/>
      <c r="AUR80" s="19"/>
      <c r="AUS80" s="19"/>
      <c r="AUT80" s="19"/>
      <c r="AUU80" s="19"/>
      <c r="AUV80" s="19"/>
      <c r="AUW80" s="19"/>
      <c r="AUX80" s="19"/>
      <c r="AUY80" s="19"/>
      <c r="AUZ80" s="19"/>
      <c r="AVA80" s="19"/>
      <c r="AVB80" s="19"/>
      <c r="AVC80" s="19"/>
      <c r="AVD80" s="19"/>
      <c r="AVE80" s="19"/>
      <c r="AVF80" s="19"/>
      <c r="AVG80" s="19"/>
      <c r="AVH80" s="19"/>
      <c r="AVI80" s="19"/>
      <c r="AVJ80" s="19"/>
      <c r="AVK80" s="19"/>
      <c r="AVL80" s="19"/>
      <c r="AVM80" s="19"/>
      <c r="AVN80" s="19"/>
      <c r="AVO80" s="19"/>
      <c r="AVP80" s="19"/>
      <c r="AVQ80" s="19"/>
      <c r="AVR80" s="19"/>
      <c r="AVS80" s="19"/>
      <c r="AVT80" s="19"/>
      <c r="AVU80" s="19"/>
      <c r="AVV80" s="19"/>
      <c r="AVW80" s="19"/>
      <c r="AVX80" s="19"/>
      <c r="AVY80" s="19"/>
      <c r="AVZ80" s="19"/>
      <c r="AWA80" s="19"/>
      <c r="AWB80" s="19"/>
      <c r="AWC80" s="19"/>
      <c r="AWD80" s="19"/>
      <c r="AWE80" s="19"/>
      <c r="AWF80" s="19"/>
      <c r="AWG80" s="19"/>
      <c r="AWH80" s="19"/>
      <c r="AWI80" s="19"/>
      <c r="AWJ80" s="19"/>
      <c r="AWK80" s="19"/>
      <c r="AWL80" s="19"/>
      <c r="AWM80" s="19"/>
      <c r="AWN80" s="19"/>
      <c r="AWO80" s="19"/>
      <c r="AWP80" s="19"/>
      <c r="AWQ80" s="19"/>
      <c r="AWR80" s="19"/>
      <c r="AWS80" s="19"/>
      <c r="AWT80" s="19"/>
      <c r="AWU80" s="19"/>
      <c r="AWV80" s="19"/>
      <c r="AWW80" s="19"/>
      <c r="AWX80" s="19"/>
      <c r="AWY80" s="19"/>
      <c r="AWZ80" s="19"/>
      <c r="AXA80" s="19"/>
      <c r="AXB80" s="19"/>
      <c r="AXC80" s="19"/>
      <c r="AXD80" s="19"/>
      <c r="AXE80" s="19"/>
      <c r="AXF80" s="19"/>
      <c r="AXG80" s="19"/>
      <c r="AXH80" s="19"/>
      <c r="AXI80" s="19"/>
      <c r="AXJ80" s="19"/>
      <c r="AXK80" s="19"/>
      <c r="AXL80" s="19"/>
      <c r="AXM80" s="19"/>
      <c r="AXN80" s="19"/>
      <c r="AXO80" s="19"/>
      <c r="AXP80" s="19"/>
      <c r="AXQ80" s="19"/>
      <c r="AXR80" s="19"/>
      <c r="AXS80" s="19"/>
      <c r="AXT80" s="19"/>
      <c r="AXU80" s="19"/>
      <c r="AXV80" s="19"/>
      <c r="AXW80" s="19"/>
      <c r="AXX80" s="19"/>
      <c r="AXY80" s="19"/>
      <c r="AXZ80" s="19"/>
      <c r="AYA80" s="19"/>
      <c r="AYB80" s="19"/>
      <c r="AYC80" s="19"/>
      <c r="AYD80" s="19"/>
      <c r="AYE80" s="19"/>
      <c r="AYF80" s="19"/>
      <c r="AYG80" s="19"/>
      <c r="AYH80" s="19"/>
      <c r="AYI80" s="19"/>
      <c r="AYJ80" s="19"/>
      <c r="AYK80" s="19"/>
      <c r="AYL80" s="19"/>
      <c r="AYM80" s="19"/>
      <c r="AYN80" s="19"/>
      <c r="AYO80" s="19"/>
      <c r="AYP80" s="19"/>
      <c r="AYQ80" s="19"/>
      <c r="AYR80" s="19"/>
      <c r="AYS80" s="19"/>
      <c r="AYT80" s="19"/>
      <c r="AYU80" s="19"/>
      <c r="AYV80" s="19"/>
      <c r="AYW80" s="19"/>
      <c r="AYX80" s="19"/>
      <c r="AYY80" s="19"/>
      <c r="AYZ80" s="19"/>
      <c r="AZA80" s="19"/>
      <c r="AZB80" s="19"/>
      <c r="AZC80" s="19"/>
      <c r="AZD80" s="19"/>
      <c r="AZE80" s="19"/>
      <c r="AZF80" s="19"/>
      <c r="AZG80" s="19"/>
      <c r="AZH80" s="19"/>
      <c r="AZI80" s="19"/>
      <c r="AZJ80" s="19"/>
      <c r="AZK80" s="19"/>
      <c r="AZL80" s="19"/>
      <c r="AZM80" s="19"/>
      <c r="AZN80" s="19"/>
      <c r="AZO80" s="19"/>
      <c r="AZP80" s="19"/>
      <c r="AZQ80" s="19"/>
      <c r="AZR80" s="19"/>
      <c r="AZS80" s="19"/>
      <c r="AZT80" s="19"/>
      <c r="AZU80" s="19"/>
      <c r="AZV80" s="19"/>
      <c r="AZW80" s="19"/>
      <c r="AZX80" s="19"/>
      <c r="AZY80" s="19"/>
      <c r="AZZ80" s="19"/>
      <c r="BAA80" s="19"/>
      <c r="BAB80" s="19"/>
      <c r="BAC80" s="19"/>
      <c r="BAD80" s="19"/>
      <c r="BAE80" s="19"/>
      <c r="BAF80" s="19"/>
      <c r="BAG80" s="19"/>
      <c r="BAH80" s="19"/>
      <c r="BAI80" s="19"/>
      <c r="BAJ80" s="19"/>
      <c r="BAK80" s="19"/>
      <c r="BAL80" s="19"/>
      <c r="BAM80" s="19"/>
      <c r="BAN80" s="19"/>
      <c r="BAO80" s="19"/>
      <c r="BAP80" s="19"/>
      <c r="BAQ80" s="19"/>
      <c r="BAR80" s="19"/>
      <c r="BAS80" s="19"/>
      <c r="BAT80" s="19"/>
      <c r="BAU80" s="19"/>
      <c r="BAV80" s="19"/>
      <c r="BAW80" s="19"/>
      <c r="BAX80" s="19"/>
      <c r="BAY80" s="19"/>
      <c r="BAZ80" s="19"/>
      <c r="BBA80" s="19"/>
      <c r="BBB80" s="19"/>
      <c r="BBC80" s="19"/>
      <c r="BBD80" s="19"/>
      <c r="BBE80" s="19"/>
      <c r="BBF80" s="19"/>
      <c r="BBG80" s="19"/>
      <c r="BBH80" s="19"/>
      <c r="BBI80" s="19"/>
      <c r="BBJ80" s="19"/>
      <c r="BBK80" s="19"/>
      <c r="BBL80" s="19"/>
      <c r="BBM80" s="19"/>
      <c r="BBN80" s="19"/>
      <c r="BBO80" s="19"/>
      <c r="BBP80" s="19"/>
      <c r="BBQ80" s="19"/>
      <c r="BBR80" s="19"/>
      <c r="BBS80" s="19"/>
      <c r="BBT80" s="19"/>
      <c r="BBU80" s="19"/>
      <c r="BBV80" s="19"/>
      <c r="BBW80" s="19"/>
      <c r="BBX80" s="19"/>
      <c r="BBY80" s="19"/>
      <c r="BBZ80" s="19"/>
      <c r="BCA80" s="19"/>
      <c r="BCB80" s="19"/>
      <c r="BCC80" s="19"/>
      <c r="BCD80" s="19"/>
      <c r="BCE80" s="19"/>
      <c r="BCF80" s="19"/>
      <c r="BCG80" s="19"/>
      <c r="BCH80" s="19"/>
      <c r="BCI80" s="19"/>
      <c r="BCJ80" s="19"/>
      <c r="BCK80" s="19"/>
      <c r="BCL80" s="19"/>
      <c r="BCM80" s="19"/>
      <c r="BCN80" s="19"/>
      <c r="BCO80" s="19"/>
      <c r="BCP80" s="19"/>
      <c r="BCQ80" s="19"/>
      <c r="BCR80" s="19"/>
      <c r="BCS80" s="19"/>
      <c r="BCT80" s="19"/>
      <c r="BCU80" s="19"/>
      <c r="BCV80" s="19"/>
      <c r="BCW80" s="19"/>
      <c r="BCX80" s="19"/>
      <c r="BCY80" s="19"/>
      <c r="BCZ80" s="19"/>
      <c r="BDA80" s="19"/>
      <c r="BDB80" s="19"/>
      <c r="BDC80" s="19"/>
      <c r="BDD80" s="19"/>
      <c r="BDE80" s="19"/>
      <c r="BDF80" s="19"/>
      <c r="BDG80" s="19"/>
      <c r="BDH80" s="19"/>
      <c r="BDI80" s="19"/>
      <c r="BDJ80" s="19"/>
      <c r="BDK80" s="19"/>
      <c r="BDL80" s="19"/>
      <c r="BDM80" s="19"/>
      <c r="BDN80" s="19"/>
      <c r="BDO80" s="19"/>
      <c r="BDP80" s="19"/>
      <c r="BDQ80" s="19"/>
      <c r="BDR80" s="19"/>
      <c r="BDS80" s="19"/>
      <c r="BDT80" s="19"/>
      <c r="BDU80" s="19"/>
      <c r="BDV80" s="19"/>
      <c r="BDW80" s="19"/>
      <c r="BDX80" s="19"/>
      <c r="BDY80" s="19"/>
      <c r="BDZ80" s="19"/>
      <c r="BEA80" s="19"/>
      <c r="BEB80" s="19"/>
      <c r="BEC80" s="19"/>
      <c r="BED80" s="19"/>
      <c r="BEE80" s="19"/>
      <c r="BEF80" s="19"/>
      <c r="BEG80" s="19"/>
      <c r="BEH80" s="19"/>
      <c r="BEI80" s="19"/>
      <c r="BEJ80" s="19"/>
      <c r="BEK80" s="19"/>
      <c r="BEL80" s="19"/>
      <c r="BEM80" s="19"/>
      <c r="BEN80" s="19"/>
      <c r="BEO80" s="19"/>
      <c r="BEP80" s="19"/>
      <c r="BEQ80" s="19"/>
      <c r="BER80" s="19"/>
      <c r="BES80" s="19"/>
      <c r="BET80" s="19"/>
      <c r="BEU80" s="19"/>
      <c r="BEV80" s="19"/>
      <c r="BEW80" s="19"/>
      <c r="BEX80" s="19"/>
      <c r="BEY80" s="19"/>
      <c r="BEZ80" s="19"/>
      <c r="BFA80" s="19"/>
      <c r="BFB80" s="19"/>
      <c r="BFC80" s="19"/>
      <c r="BFD80" s="19"/>
      <c r="BFE80" s="19"/>
      <c r="BFF80" s="19"/>
      <c r="BFG80" s="19"/>
      <c r="BFH80" s="19"/>
      <c r="BFI80" s="19"/>
      <c r="BFJ80" s="19"/>
      <c r="BFK80" s="19"/>
      <c r="BFL80" s="19"/>
      <c r="BFM80" s="19"/>
      <c r="BFN80" s="19"/>
      <c r="BFO80" s="19"/>
      <c r="BFP80" s="19"/>
      <c r="BFQ80" s="19"/>
      <c r="BFR80" s="19"/>
      <c r="BFS80" s="19"/>
      <c r="BFT80" s="19"/>
      <c r="BFU80" s="19"/>
      <c r="BFV80" s="19"/>
      <c r="BFW80" s="19"/>
      <c r="BFX80" s="19"/>
      <c r="BFY80" s="19"/>
      <c r="BFZ80" s="19"/>
      <c r="BGA80" s="19"/>
      <c r="BGB80" s="19"/>
      <c r="BGC80" s="19"/>
      <c r="BGD80" s="19"/>
      <c r="BGE80" s="19"/>
      <c r="BGF80" s="19"/>
      <c r="BGG80" s="19"/>
      <c r="BGH80" s="19"/>
      <c r="BGI80" s="19"/>
      <c r="BGJ80" s="19"/>
      <c r="BGK80" s="19"/>
      <c r="BGL80" s="19"/>
      <c r="BGM80" s="19"/>
      <c r="BGN80" s="19"/>
      <c r="BGO80" s="19"/>
      <c r="BGP80" s="19"/>
      <c r="BGQ80" s="19"/>
      <c r="BGR80" s="19"/>
      <c r="BGS80" s="19"/>
      <c r="BGT80" s="19"/>
      <c r="BGU80" s="19"/>
      <c r="BGV80" s="19"/>
      <c r="BGW80" s="19"/>
      <c r="BGX80" s="19"/>
      <c r="BGY80" s="19"/>
      <c r="BGZ80" s="19"/>
      <c r="BHA80" s="19"/>
      <c r="BHB80" s="19"/>
      <c r="BHC80" s="19"/>
      <c r="BHD80" s="19"/>
      <c r="BHE80" s="19"/>
      <c r="BHF80" s="19"/>
      <c r="BHG80" s="19"/>
      <c r="BHH80" s="19"/>
      <c r="BHI80" s="19"/>
      <c r="BHJ80" s="19"/>
      <c r="BHK80" s="19"/>
      <c r="BHL80" s="19"/>
      <c r="BHM80" s="19"/>
      <c r="BHN80" s="19"/>
      <c r="BHO80" s="19"/>
      <c r="BHP80" s="19"/>
      <c r="BHQ80" s="19"/>
      <c r="BHR80" s="19"/>
      <c r="BHS80" s="19"/>
      <c r="BHT80" s="19"/>
      <c r="BHU80" s="19"/>
      <c r="BHV80" s="19"/>
      <c r="BHW80" s="19"/>
      <c r="BHX80" s="19"/>
      <c r="BHY80" s="19"/>
      <c r="BHZ80" s="19"/>
      <c r="BIA80" s="19"/>
      <c r="BIB80" s="19"/>
      <c r="BIC80" s="19"/>
      <c r="BID80" s="19"/>
      <c r="BIE80" s="19"/>
      <c r="BIF80" s="19"/>
      <c r="BIG80" s="19"/>
      <c r="BIH80" s="19"/>
      <c r="BII80" s="19"/>
      <c r="BIJ80" s="19"/>
      <c r="BIK80" s="19"/>
      <c r="BIL80" s="19"/>
      <c r="BIM80" s="19"/>
      <c r="BIN80" s="19"/>
      <c r="BIO80" s="19"/>
      <c r="BIP80" s="19"/>
      <c r="BIQ80" s="19"/>
      <c r="BIR80" s="19"/>
      <c r="BIS80" s="19"/>
      <c r="BIT80" s="19"/>
      <c r="BIU80" s="19"/>
      <c r="BIV80" s="19"/>
      <c r="BIW80" s="19"/>
      <c r="BIX80" s="19"/>
      <c r="BIY80" s="19"/>
      <c r="BIZ80" s="19"/>
      <c r="BJA80" s="19"/>
      <c r="BJB80" s="19"/>
      <c r="BJC80" s="19"/>
      <c r="BJD80" s="19"/>
      <c r="BJE80" s="19"/>
      <c r="BJF80" s="19"/>
      <c r="BJG80" s="19"/>
      <c r="BJH80" s="19"/>
      <c r="BJI80" s="19"/>
      <c r="BJJ80" s="19"/>
      <c r="BJK80" s="19"/>
      <c r="BJL80" s="19"/>
      <c r="BJM80" s="19"/>
      <c r="BJN80" s="19"/>
      <c r="BJO80" s="19"/>
      <c r="BJP80" s="19"/>
      <c r="BJQ80" s="19"/>
      <c r="BJR80" s="19"/>
      <c r="BJS80" s="19"/>
      <c r="BJT80" s="19"/>
      <c r="BJU80" s="19"/>
      <c r="BJV80" s="19"/>
      <c r="BJW80" s="19"/>
      <c r="BJX80" s="19"/>
      <c r="BJY80" s="19"/>
      <c r="BJZ80" s="19"/>
      <c r="BKA80" s="19"/>
      <c r="BKB80" s="19"/>
      <c r="BKC80" s="19"/>
      <c r="BKD80" s="19"/>
      <c r="BKE80" s="19"/>
      <c r="BKF80" s="19"/>
      <c r="BKG80" s="19"/>
      <c r="BKH80" s="19"/>
      <c r="BKI80" s="19"/>
      <c r="BKJ80" s="19"/>
      <c r="BKK80" s="19"/>
      <c r="BKL80" s="19"/>
      <c r="BKM80" s="19"/>
      <c r="BKN80" s="19"/>
      <c r="BKO80" s="19"/>
      <c r="BKP80" s="19"/>
      <c r="BKQ80" s="19"/>
      <c r="BKR80" s="19"/>
      <c r="BKS80" s="19"/>
      <c r="BKT80" s="19"/>
      <c r="BKU80" s="19"/>
      <c r="BKV80" s="19"/>
      <c r="BKW80" s="19"/>
      <c r="BKX80" s="19"/>
      <c r="BKY80" s="19"/>
      <c r="BKZ80" s="19"/>
      <c r="BLA80" s="19"/>
      <c r="BLB80" s="19"/>
      <c r="BLC80" s="19"/>
      <c r="BLD80" s="19"/>
      <c r="BLE80" s="19"/>
      <c r="BLF80" s="19"/>
      <c r="BLG80" s="19"/>
      <c r="BLH80" s="19"/>
      <c r="BLI80" s="19"/>
      <c r="BLJ80" s="19"/>
      <c r="BLK80" s="19"/>
      <c r="BLL80" s="19"/>
      <c r="BLM80" s="19"/>
      <c r="BLN80" s="19"/>
      <c r="BLO80" s="19"/>
      <c r="BLP80" s="19"/>
      <c r="BLQ80" s="19"/>
      <c r="BLR80" s="19"/>
      <c r="BLS80" s="19"/>
      <c r="BLT80" s="19"/>
      <c r="BLU80" s="19"/>
      <c r="BLV80" s="19"/>
      <c r="BLW80" s="19"/>
      <c r="BLX80" s="19"/>
      <c r="BLY80" s="19"/>
      <c r="BLZ80" s="19"/>
      <c r="BMA80" s="19"/>
      <c r="BMB80" s="19"/>
      <c r="BMC80" s="19"/>
      <c r="BMD80" s="19"/>
      <c r="BME80" s="19"/>
      <c r="BMF80" s="19"/>
      <c r="BMG80" s="19"/>
      <c r="BMH80" s="19"/>
      <c r="BMI80" s="19"/>
      <c r="BMJ80" s="19"/>
      <c r="BMK80" s="19"/>
      <c r="BML80" s="19"/>
      <c r="BMM80" s="19"/>
      <c r="BMN80" s="19"/>
      <c r="BMO80" s="19"/>
      <c r="BMP80" s="19"/>
      <c r="BMQ80" s="19"/>
      <c r="BMR80" s="19"/>
      <c r="BMS80" s="19"/>
      <c r="BMT80" s="19"/>
      <c r="BMU80" s="19"/>
      <c r="BMV80" s="19"/>
      <c r="BMW80" s="19"/>
      <c r="BMX80" s="19"/>
      <c r="BMY80" s="19"/>
      <c r="BMZ80" s="19"/>
      <c r="BNA80" s="19"/>
      <c r="BNB80" s="19"/>
      <c r="BNC80" s="19"/>
      <c r="BND80" s="19"/>
      <c r="BNE80" s="19"/>
      <c r="BNF80" s="19"/>
      <c r="BNG80" s="19"/>
      <c r="BNH80" s="19"/>
      <c r="BNI80" s="19"/>
      <c r="BNJ80" s="19"/>
      <c r="BNK80" s="19"/>
      <c r="BNL80" s="19"/>
      <c r="BNM80" s="19"/>
      <c r="BNN80" s="19"/>
      <c r="BNO80" s="19"/>
      <c r="BNP80" s="19"/>
      <c r="BNQ80" s="19"/>
      <c r="BNR80" s="19"/>
      <c r="BNS80" s="19"/>
      <c r="BNT80" s="19"/>
      <c r="BNU80" s="19"/>
      <c r="BNV80" s="19"/>
      <c r="BNW80" s="19"/>
      <c r="BNX80" s="19"/>
      <c r="BNY80" s="19"/>
      <c r="BNZ80" s="19"/>
      <c r="BOA80" s="19"/>
      <c r="BOB80" s="19"/>
      <c r="BOC80" s="19"/>
      <c r="BOD80" s="19"/>
      <c r="BOE80" s="19"/>
      <c r="BOF80" s="19"/>
      <c r="BOG80" s="19"/>
      <c r="BOH80" s="19"/>
      <c r="BOI80" s="19"/>
      <c r="BOJ80" s="19"/>
      <c r="BOK80" s="19"/>
      <c r="BOL80" s="19"/>
      <c r="BOM80" s="19"/>
      <c r="BON80" s="19"/>
      <c r="BOO80" s="19"/>
      <c r="BOP80" s="19"/>
      <c r="BOQ80" s="19"/>
      <c r="BOR80" s="19"/>
      <c r="BOS80" s="19"/>
      <c r="BOT80" s="19"/>
      <c r="BOU80" s="19"/>
      <c r="BOV80" s="19"/>
      <c r="BOW80" s="19"/>
      <c r="BOX80" s="19"/>
      <c r="BOY80" s="19"/>
      <c r="BOZ80" s="19"/>
      <c r="BPA80" s="19"/>
      <c r="BPB80" s="19"/>
      <c r="BPC80" s="19"/>
      <c r="BPD80" s="19"/>
      <c r="BPE80" s="19"/>
      <c r="BPF80" s="19"/>
      <c r="BPG80" s="19"/>
      <c r="BPH80" s="19"/>
      <c r="BPI80" s="19"/>
      <c r="BPJ80" s="19"/>
      <c r="BPK80" s="19"/>
      <c r="BPL80" s="19"/>
      <c r="BPM80" s="19"/>
      <c r="BPN80" s="19"/>
      <c r="BPO80" s="19"/>
      <c r="BPP80" s="19"/>
      <c r="BPQ80" s="19"/>
      <c r="BPR80" s="19"/>
      <c r="BPS80" s="19"/>
      <c r="BPT80" s="19"/>
      <c r="BPU80" s="19"/>
      <c r="BPV80" s="19"/>
      <c r="BPW80" s="19"/>
      <c r="BPX80" s="19"/>
      <c r="BPY80" s="19"/>
      <c r="BPZ80" s="19"/>
      <c r="BQA80" s="19"/>
      <c r="BQB80" s="19"/>
      <c r="BQC80" s="19"/>
      <c r="BQD80" s="19"/>
      <c r="BQE80" s="19"/>
      <c r="BQF80" s="19"/>
      <c r="BQG80" s="19"/>
      <c r="BQH80" s="19"/>
      <c r="BQI80" s="19"/>
      <c r="BQJ80" s="19"/>
      <c r="BQK80" s="19"/>
      <c r="BQL80" s="19"/>
      <c r="BQM80" s="19"/>
      <c r="BQN80" s="19"/>
      <c r="BQO80" s="19"/>
      <c r="BQP80" s="19"/>
      <c r="BQQ80" s="19"/>
      <c r="BQR80" s="19"/>
      <c r="BQS80" s="19"/>
      <c r="BQT80" s="19"/>
      <c r="BQU80" s="19"/>
      <c r="BQV80" s="19"/>
      <c r="BQW80" s="19"/>
      <c r="BQX80" s="19"/>
      <c r="BQY80" s="19"/>
      <c r="BQZ80" s="19"/>
      <c r="BRA80" s="19"/>
      <c r="BRB80" s="19"/>
      <c r="BRC80" s="19"/>
      <c r="BRD80" s="19"/>
      <c r="BRE80" s="19"/>
      <c r="BRF80" s="19"/>
      <c r="BRG80" s="19"/>
      <c r="BRH80" s="19"/>
      <c r="BRI80" s="19"/>
      <c r="BRJ80" s="19"/>
      <c r="BRK80" s="19"/>
      <c r="BRL80" s="19"/>
      <c r="BRM80" s="19"/>
      <c r="BRN80" s="19"/>
      <c r="BRO80" s="19"/>
      <c r="BRP80" s="19"/>
      <c r="BRQ80" s="19"/>
      <c r="BRR80" s="19"/>
      <c r="BRS80" s="19"/>
      <c r="BRT80" s="19"/>
      <c r="BRU80" s="19"/>
      <c r="BRV80" s="19"/>
      <c r="BRW80" s="19"/>
      <c r="BRX80" s="19"/>
      <c r="BRY80" s="19"/>
      <c r="BRZ80" s="19"/>
      <c r="BSA80" s="19"/>
      <c r="BSB80" s="19"/>
      <c r="BSC80" s="19"/>
      <c r="BSD80" s="19"/>
      <c r="BSE80" s="19"/>
      <c r="BSF80" s="19"/>
      <c r="BSG80" s="19"/>
      <c r="BSH80" s="19"/>
      <c r="BSI80" s="19"/>
      <c r="BSJ80" s="19"/>
      <c r="BSK80" s="19"/>
      <c r="BSL80" s="19"/>
      <c r="BSM80" s="19"/>
      <c r="BSN80" s="19"/>
      <c r="BSO80" s="19"/>
      <c r="BSP80" s="19"/>
      <c r="BSQ80" s="19"/>
      <c r="BSR80" s="19"/>
      <c r="BSS80" s="19"/>
      <c r="BST80" s="19"/>
      <c r="BSU80" s="19"/>
      <c r="BSV80" s="19"/>
      <c r="BSW80" s="19"/>
      <c r="BSX80" s="19"/>
      <c r="BSY80" s="19"/>
      <c r="BSZ80" s="19"/>
      <c r="BTA80" s="19"/>
      <c r="BTB80" s="19"/>
      <c r="BTC80" s="19"/>
      <c r="BTD80" s="19"/>
      <c r="BTE80" s="19"/>
      <c r="BTF80" s="19"/>
      <c r="BTG80" s="19"/>
      <c r="BTH80" s="19"/>
      <c r="BTI80" s="19"/>
      <c r="BTJ80" s="19"/>
      <c r="BTK80" s="19"/>
      <c r="BTL80" s="19"/>
      <c r="BTM80" s="19"/>
      <c r="BTN80" s="19"/>
      <c r="BTO80" s="19"/>
      <c r="BTP80" s="19"/>
      <c r="BTQ80" s="19"/>
      <c r="BTR80" s="19"/>
      <c r="BTS80" s="19"/>
      <c r="BTT80" s="19"/>
      <c r="BTU80" s="19"/>
      <c r="BTV80" s="19"/>
      <c r="BTW80" s="19"/>
      <c r="BTX80" s="19"/>
      <c r="BTY80" s="19"/>
      <c r="BTZ80" s="19"/>
      <c r="BUA80" s="19"/>
      <c r="BUB80" s="19"/>
      <c r="BUC80" s="19"/>
      <c r="BUD80" s="19"/>
      <c r="BUE80" s="19"/>
      <c r="BUF80" s="19"/>
      <c r="BUG80" s="19"/>
      <c r="BUH80" s="19"/>
      <c r="BUI80" s="19"/>
      <c r="BUJ80" s="19"/>
      <c r="BUK80" s="19"/>
      <c r="BUL80" s="19"/>
      <c r="BUM80" s="19"/>
      <c r="BUN80" s="19"/>
      <c r="BUO80" s="19"/>
      <c r="BUP80" s="19"/>
      <c r="BUQ80" s="19"/>
      <c r="BUR80" s="19"/>
      <c r="BUS80" s="19"/>
      <c r="BUT80" s="19"/>
      <c r="BUU80" s="19"/>
      <c r="BUV80" s="19"/>
      <c r="BUW80" s="19"/>
      <c r="BUX80" s="19"/>
      <c r="BUY80" s="19"/>
      <c r="BUZ80" s="19"/>
      <c r="BVA80" s="19"/>
      <c r="BVB80" s="19"/>
      <c r="BVC80" s="19"/>
      <c r="BVD80" s="19"/>
      <c r="BVE80" s="19"/>
      <c r="BVF80" s="19"/>
      <c r="BVG80" s="19"/>
      <c r="BVH80" s="19"/>
      <c r="BVI80" s="19"/>
      <c r="BVJ80" s="19"/>
      <c r="BVK80" s="19"/>
      <c r="BVL80" s="19"/>
      <c r="BVM80" s="19"/>
      <c r="BVN80" s="19"/>
      <c r="BVO80" s="19"/>
      <c r="BVP80" s="19"/>
      <c r="BVQ80" s="19"/>
      <c r="BVR80" s="19"/>
      <c r="BVS80" s="19"/>
      <c r="BVT80" s="19"/>
      <c r="BVU80" s="19"/>
      <c r="BVV80" s="19"/>
      <c r="BVW80" s="19"/>
      <c r="BVX80" s="19"/>
      <c r="BVY80" s="19"/>
      <c r="BVZ80" s="19"/>
      <c r="BWA80" s="19"/>
      <c r="BWB80" s="19"/>
      <c r="BWC80" s="19"/>
      <c r="BWD80" s="19"/>
      <c r="BWE80" s="19"/>
      <c r="BWF80" s="19"/>
      <c r="BWG80" s="19"/>
      <c r="BWH80" s="19"/>
      <c r="BWI80" s="19"/>
      <c r="BWJ80" s="19"/>
      <c r="BWK80" s="19"/>
      <c r="BWL80" s="19"/>
      <c r="BWM80" s="19"/>
      <c r="BWN80" s="19"/>
      <c r="BWO80" s="19"/>
      <c r="BWP80" s="19"/>
      <c r="BWQ80" s="19"/>
      <c r="BWR80" s="19"/>
      <c r="BWS80" s="19"/>
      <c r="BWT80" s="19"/>
      <c r="BWU80" s="19"/>
      <c r="BWV80" s="19"/>
      <c r="BWW80" s="19"/>
      <c r="BWX80" s="19"/>
      <c r="BWY80" s="19"/>
      <c r="BWZ80" s="19"/>
      <c r="BXA80" s="19"/>
      <c r="BXB80" s="19"/>
      <c r="BXC80" s="19"/>
      <c r="BXD80" s="19"/>
      <c r="BXE80" s="19"/>
      <c r="BXF80" s="19"/>
      <c r="BXG80" s="19"/>
      <c r="BXH80" s="19"/>
      <c r="BXI80" s="19"/>
      <c r="BXJ80" s="19"/>
      <c r="BXK80" s="19"/>
      <c r="BXL80" s="19"/>
      <c r="BXM80" s="19"/>
      <c r="BXN80" s="19"/>
      <c r="BXO80" s="19"/>
      <c r="BXP80" s="19"/>
      <c r="BXQ80" s="19"/>
      <c r="BXR80" s="19"/>
      <c r="BXS80" s="19"/>
      <c r="BXT80" s="19"/>
      <c r="BXU80" s="19"/>
      <c r="BXV80" s="19"/>
      <c r="BXW80" s="19"/>
      <c r="BXX80" s="19"/>
      <c r="BXY80" s="19"/>
      <c r="BXZ80" s="19"/>
      <c r="BYA80" s="19"/>
      <c r="BYB80" s="19"/>
      <c r="BYC80" s="19"/>
      <c r="BYD80" s="19"/>
      <c r="BYE80" s="19"/>
      <c r="BYF80" s="19"/>
      <c r="BYG80" s="19"/>
      <c r="BYH80" s="19"/>
      <c r="BYI80" s="19"/>
      <c r="BYJ80" s="19"/>
      <c r="BYK80" s="19"/>
      <c r="BYL80" s="19"/>
      <c r="BYM80" s="19"/>
      <c r="BYN80" s="19"/>
      <c r="BYO80" s="19"/>
      <c r="BYP80" s="19"/>
      <c r="BYQ80" s="19"/>
      <c r="BYR80" s="19"/>
      <c r="BYS80" s="19"/>
      <c r="BYT80" s="19"/>
      <c r="BYU80" s="19"/>
      <c r="BYV80" s="19"/>
      <c r="BYW80" s="19"/>
      <c r="BYX80" s="19"/>
      <c r="BYY80" s="19"/>
      <c r="BYZ80" s="19"/>
      <c r="BZA80" s="19"/>
      <c r="BZB80" s="19"/>
      <c r="BZC80" s="19"/>
      <c r="BZD80" s="19"/>
      <c r="BZE80" s="19"/>
      <c r="BZF80" s="19"/>
      <c r="BZG80" s="19"/>
      <c r="BZH80" s="19"/>
      <c r="BZI80" s="19"/>
      <c r="BZJ80" s="19"/>
      <c r="BZK80" s="19"/>
      <c r="BZL80" s="19"/>
      <c r="BZM80" s="19"/>
      <c r="BZN80" s="19"/>
      <c r="BZO80" s="19"/>
      <c r="BZP80" s="19"/>
      <c r="BZQ80" s="19"/>
      <c r="BZR80" s="19"/>
      <c r="BZS80" s="19"/>
      <c r="BZT80" s="19"/>
      <c r="BZU80" s="19"/>
      <c r="BZV80" s="19"/>
      <c r="BZW80" s="19"/>
      <c r="BZX80" s="19"/>
      <c r="BZY80" s="19"/>
      <c r="BZZ80" s="19"/>
      <c r="CAA80" s="19"/>
      <c r="CAB80" s="19"/>
      <c r="CAC80" s="19"/>
      <c r="CAD80" s="19"/>
      <c r="CAE80" s="19"/>
      <c r="CAF80" s="19"/>
      <c r="CAG80" s="19"/>
      <c r="CAH80" s="19"/>
      <c r="CAI80" s="19"/>
      <c r="CAJ80" s="19"/>
      <c r="CAK80" s="19"/>
      <c r="CAL80" s="19"/>
      <c r="CAM80" s="19"/>
      <c r="CAN80" s="19"/>
      <c r="CAO80" s="19"/>
      <c r="CAP80" s="19"/>
      <c r="CAQ80" s="19"/>
      <c r="CAR80" s="19"/>
      <c r="CAS80" s="19"/>
      <c r="CAT80" s="19"/>
      <c r="CAU80" s="19"/>
      <c r="CAV80" s="19"/>
      <c r="CAW80" s="19"/>
      <c r="CAX80" s="19"/>
      <c r="CAY80" s="19"/>
      <c r="CAZ80" s="19"/>
      <c r="CBA80" s="19"/>
      <c r="CBB80" s="19"/>
      <c r="CBC80" s="19"/>
      <c r="CBD80" s="19"/>
      <c r="CBE80" s="19"/>
      <c r="CBF80" s="19"/>
      <c r="CBG80" s="19"/>
      <c r="CBH80" s="19"/>
      <c r="CBI80" s="19"/>
      <c r="CBJ80" s="19"/>
      <c r="CBK80" s="19"/>
      <c r="CBL80" s="19"/>
      <c r="CBM80" s="19"/>
      <c r="CBN80" s="19"/>
      <c r="CBO80" s="19"/>
      <c r="CBP80" s="19"/>
      <c r="CBQ80" s="19"/>
      <c r="CBR80" s="19"/>
      <c r="CBS80" s="19"/>
      <c r="CBT80" s="19"/>
      <c r="CBU80" s="19"/>
      <c r="CBV80" s="19"/>
      <c r="CBW80" s="19"/>
      <c r="CBX80" s="19"/>
      <c r="CBY80" s="19"/>
      <c r="CBZ80" s="19"/>
      <c r="CCA80" s="19"/>
      <c r="CCB80" s="19"/>
      <c r="CCC80" s="19"/>
      <c r="CCD80" s="19"/>
      <c r="CCE80" s="19"/>
      <c r="CCF80" s="19"/>
      <c r="CCG80" s="19"/>
      <c r="CCH80" s="19"/>
      <c r="CCI80" s="19"/>
      <c r="CCJ80" s="19"/>
      <c r="CCK80" s="19"/>
      <c r="CCL80" s="19"/>
      <c r="CCM80" s="19"/>
      <c r="CCN80" s="19"/>
      <c r="CCO80" s="19"/>
      <c r="CCP80" s="19"/>
      <c r="CCQ80" s="19"/>
      <c r="CCR80" s="19"/>
      <c r="CCS80" s="19"/>
      <c r="CCT80" s="19"/>
      <c r="CCU80" s="19"/>
      <c r="CCV80" s="19"/>
      <c r="CCW80" s="19"/>
      <c r="CCX80" s="19"/>
      <c r="CCY80" s="19"/>
      <c r="CCZ80" s="19"/>
      <c r="CDA80" s="19"/>
      <c r="CDB80" s="19"/>
      <c r="CDC80" s="19"/>
      <c r="CDD80" s="19"/>
      <c r="CDE80" s="19"/>
      <c r="CDF80" s="19"/>
      <c r="CDG80" s="19"/>
      <c r="CDH80" s="19"/>
      <c r="CDI80" s="19"/>
      <c r="CDJ80" s="19"/>
      <c r="CDK80" s="19"/>
      <c r="CDL80" s="19"/>
      <c r="CDM80" s="19"/>
      <c r="CDN80" s="19"/>
      <c r="CDO80" s="19"/>
      <c r="CDP80" s="19"/>
      <c r="CDQ80" s="19"/>
      <c r="CDR80" s="19"/>
      <c r="CDS80" s="19"/>
      <c r="CDT80" s="19"/>
      <c r="CDU80" s="19"/>
      <c r="CDV80" s="19"/>
      <c r="CDW80" s="19"/>
      <c r="CDX80" s="19"/>
      <c r="CDY80" s="19"/>
      <c r="CDZ80" s="19"/>
      <c r="CEA80" s="19"/>
      <c r="CEB80" s="19"/>
      <c r="CEC80" s="19"/>
      <c r="CED80" s="19"/>
      <c r="CEE80" s="19"/>
      <c r="CEF80" s="19"/>
      <c r="CEG80" s="19"/>
      <c r="CEH80" s="19"/>
      <c r="CEI80" s="19"/>
      <c r="CEJ80" s="19"/>
      <c r="CEK80" s="19"/>
      <c r="CEL80" s="19"/>
      <c r="CEM80" s="19"/>
      <c r="CEN80" s="19"/>
      <c r="CEO80" s="19"/>
      <c r="CEP80" s="19"/>
      <c r="CEQ80" s="19"/>
      <c r="CER80" s="19"/>
      <c r="CES80" s="19"/>
      <c r="CET80" s="19"/>
      <c r="CEU80" s="19"/>
      <c r="CEV80" s="19"/>
      <c r="CEW80" s="19"/>
      <c r="CEX80" s="19"/>
      <c r="CEY80" s="19"/>
      <c r="CEZ80" s="19"/>
      <c r="CFA80" s="19"/>
      <c r="CFB80" s="19"/>
      <c r="CFC80" s="19"/>
      <c r="CFD80" s="19"/>
      <c r="CFE80" s="19"/>
      <c r="CFF80" s="19"/>
      <c r="CFG80" s="19"/>
      <c r="CFH80" s="19"/>
      <c r="CFI80" s="19"/>
      <c r="CFJ80" s="19"/>
      <c r="CFK80" s="19"/>
      <c r="CFL80" s="19"/>
      <c r="CFM80" s="19"/>
      <c r="CFN80" s="19"/>
      <c r="CFO80" s="19"/>
      <c r="CFP80" s="19"/>
      <c r="CFQ80" s="19"/>
      <c r="CFR80" s="19"/>
      <c r="CFS80" s="19"/>
      <c r="CFT80" s="19"/>
      <c r="CFU80" s="19"/>
      <c r="CFV80" s="19"/>
      <c r="CFW80" s="19"/>
      <c r="CFX80" s="19"/>
      <c r="CFY80" s="19"/>
      <c r="CFZ80" s="19"/>
      <c r="CGA80" s="19"/>
      <c r="CGB80" s="19"/>
      <c r="CGC80" s="19"/>
      <c r="CGD80" s="19"/>
      <c r="CGE80" s="19"/>
      <c r="CGF80" s="19"/>
      <c r="CGG80" s="19"/>
      <c r="CGH80" s="19"/>
      <c r="CGI80" s="19"/>
      <c r="CGJ80" s="19"/>
      <c r="CGK80" s="19"/>
      <c r="CGL80" s="19"/>
      <c r="CGM80" s="19"/>
      <c r="CGN80" s="19"/>
      <c r="CGO80" s="19"/>
      <c r="CGP80" s="19"/>
      <c r="CGQ80" s="19"/>
      <c r="CGR80" s="19"/>
      <c r="CGS80" s="19"/>
      <c r="CGT80" s="19"/>
      <c r="CGU80" s="19"/>
      <c r="CGV80" s="19"/>
      <c r="CGW80" s="19"/>
      <c r="CGX80" s="19"/>
      <c r="CGY80" s="19"/>
      <c r="CGZ80" s="19"/>
      <c r="CHA80" s="19"/>
      <c r="CHB80" s="19"/>
      <c r="CHC80" s="19"/>
      <c r="CHD80" s="19"/>
      <c r="CHE80" s="19"/>
      <c r="CHF80" s="19"/>
      <c r="CHG80" s="19"/>
      <c r="CHH80" s="19"/>
      <c r="CHI80" s="19"/>
      <c r="CHJ80" s="19"/>
      <c r="CHK80" s="19"/>
      <c r="CHL80" s="19"/>
      <c r="CHM80" s="19"/>
      <c r="CHN80" s="19"/>
      <c r="CHO80" s="19"/>
      <c r="CHP80" s="19"/>
      <c r="CHQ80" s="19"/>
      <c r="CHR80" s="19"/>
      <c r="CHS80" s="19"/>
      <c r="CHT80" s="19"/>
      <c r="CHU80" s="19"/>
      <c r="CHV80" s="19"/>
      <c r="CHW80" s="19"/>
      <c r="CHX80" s="19"/>
      <c r="CHY80" s="19"/>
      <c r="CHZ80" s="19"/>
      <c r="CIA80" s="19"/>
      <c r="CIB80" s="19"/>
      <c r="CIC80" s="19"/>
      <c r="CID80" s="19"/>
      <c r="CIE80" s="19"/>
      <c r="CIF80" s="19"/>
      <c r="CIG80" s="19"/>
      <c r="CIH80" s="19"/>
      <c r="CII80" s="19"/>
      <c r="CIJ80" s="19"/>
      <c r="CIK80" s="19"/>
      <c r="CIL80" s="19"/>
      <c r="CIM80" s="19"/>
      <c r="CIN80" s="19"/>
      <c r="CIO80" s="19"/>
      <c r="CIP80" s="19"/>
      <c r="CIQ80" s="19"/>
      <c r="CIR80" s="19"/>
      <c r="CIS80" s="19"/>
      <c r="CIT80" s="19"/>
      <c r="CIU80" s="19"/>
      <c r="CIV80" s="19"/>
      <c r="CIW80" s="19"/>
      <c r="CIX80" s="19"/>
      <c r="CIY80" s="19"/>
      <c r="CIZ80" s="19"/>
      <c r="CJA80" s="19"/>
      <c r="CJB80" s="19"/>
      <c r="CJC80" s="19"/>
      <c r="CJD80" s="19"/>
      <c r="CJE80" s="19"/>
      <c r="CJF80" s="19"/>
      <c r="CJG80" s="19"/>
      <c r="CJH80" s="19"/>
      <c r="CJI80" s="19"/>
      <c r="CJJ80" s="19"/>
      <c r="CJK80" s="19"/>
      <c r="CJL80" s="19"/>
      <c r="CJM80" s="19"/>
      <c r="CJN80" s="19"/>
      <c r="CJO80" s="19"/>
      <c r="CJP80" s="19"/>
      <c r="CJQ80" s="19"/>
      <c r="CJR80" s="19"/>
      <c r="CJS80" s="19"/>
      <c r="CJT80" s="19"/>
      <c r="CJU80" s="19"/>
      <c r="CJV80" s="19"/>
      <c r="CJW80" s="19"/>
      <c r="CJX80" s="19"/>
      <c r="CJY80" s="19"/>
      <c r="CJZ80" s="19"/>
      <c r="CKA80" s="19"/>
      <c r="CKB80" s="19"/>
      <c r="CKC80" s="19"/>
      <c r="CKD80" s="19"/>
      <c r="CKE80" s="19"/>
      <c r="CKF80" s="19"/>
      <c r="CKG80" s="19"/>
      <c r="CKH80" s="19"/>
      <c r="CKI80" s="19"/>
      <c r="CKJ80" s="19"/>
      <c r="CKK80" s="19"/>
      <c r="CKL80" s="19"/>
      <c r="CKM80" s="19"/>
      <c r="CKN80" s="19"/>
      <c r="CKO80" s="19"/>
      <c r="CKP80" s="19"/>
      <c r="CKQ80" s="19"/>
      <c r="CKR80" s="19"/>
      <c r="CKS80" s="19"/>
      <c r="CKT80" s="19"/>
      <c r="CKU80" s="19"/>
      <c r="CKV80" s="19"/>
      <c r="CKW80" s="19"/>
      <c r="CKX80" s="19"/>
      <c r="CKY80" s="19"/>
      <c r="CKZ80" s="19"/>
      <c r="CLA80" s="19"/>
      <c r="CLB80" s="19"/>
      <c r="CLC80" s="19"/>
      <c r="CLD80" s="19"/>
      <c r="CLE80" s="19"/>
      <c r="CLF80" s="19"/>
      <c r="CLG80" s="19"/>
      <c r="CLH80" s="19"/>
      <c r="CLI80" s="19"/>
      <c r="CLJ80" s="19"/>
      <c r="CLK80" s="19"/>
      <c r="CLL80" s="19"/>
      <c r="CLM80" s="19"/>
      <c r="CLN80" s="19"/>
      <c r="CLO80" s="19"/>
      <c r="CLP80" s="19"/>
      <c r="CLQ80" s="19"/>
      <c r="CLR80" s="19"/>
      <c r="CLS80" s="19"/>
      <c r="CLT80" s="19"/>
      <c r="CLU80" s="19"/>
      <c r="CLV80" s="19"/>
      <c r="CLW80" s="19"/>
      <c r="CLX80" s="19"/>
      <c r="CLY80" s="19"/>
      <c r="CLZ80" s="19"/>
      <c r="CMA80" s="19"/>
      <c r="CMB80" s="19"/>
      <c r="CMC80" s="19"/>
      <c r="CMD80" s="19"/>
      <c r="CME80" s="19"/>
      <c r="CMF80" s="19"/>
      <c r="CMG80" s="19"/>
      <c r="CMH80" s="19"/>
      <c r="CMI80" s="19"/>
      <c r="CMJ80" s="19"/>
      <c r="CMK80" s="19"/>
      <c r="CML80" s="19"/>
      <c r="CMM80" s="19"/>
      <c r="CMN80" s="19"/>
      <c r="CMO80" s="19"/>
      <c r="CMP80" s="19"/>
      <c r="CMQ80" s="19"/>
      <c r="CMR80" s="19"/>
      <c r="CMS80" s="19"/>
      <c r="CMT80" s="19"/>
      <c r="CMU80" s="19"/>
      <c r="CMV80" s="19"/>
      <c r="CMW80" s="19"/>
      <c r="CMX80" s="19"/>
      <c r="CMY80" s="19"/>
      <c r="CMZ80" s="19"/>
      <c r="CNA80" s="19"/>
      <c r="CNB80" s="19"/>
      <c r="CNC80" s="19"/>
      <c r="CND80" s="19"/>
      <c r="CNE80" s="19"/>
      <c r="CNF80" s="19"/>
      <c r="CNG80" s="19"/>
      <c r="CNH80" s="19"/>
      <c r="CNI80" s="19"/>
      <c r="CNJ80" s="19"/>
      <c r="CNK80" s="19"/>
      <c r="CNL80" s="19"/>
      <c r="CNM80" s="19"/>
      <c r="CNN80" s="19"/>
      <c r="CNO80" s="19"/>
      <c r="CNP80" s="19"/>
      <c r="CNQ80" s="19"/>
      <c r="CNR80" s="19"/>
      <c r="CNS80" s="19"/>
      <c r="CNT80" s="19"/>
      <c r="CNU80" s="19"/>
      <c r="CNV80" s="19"/>
      <c r="CNW80" s="19"/>
      <c r="CNX80" s="19"/>
      <c r="CNY80" s="19"/>
      <c r="CNZ80" s="19"/>
      <c r="COA80" s="19"/>
      <c r="COB80" s="19"/>
      <c r="COC80" s="19"/>
      <c r="COD80" s="19"/>
      <c r="COE80" s="19"/>
      <c r="COF80" s="19"/>
      <c r="COG80" s="19"/>
      <c r="COH80" s="19"/>
      <c r="COI80" s="19"/>
      <c r="COJ80" s="19"/>
      <c r="COK80" s="19"/>
      <c r="COL80" s="19"/>
      <c r="COM80" s="19"/>
      <c r="CON80" s="19"/>
      <c r="COO80" s="19"/>
      <c r="COP80" s="19"/>
      <c r="COQ80" s="19"/>
      <c r="COR80" s="19"/>
      <c r="COS80" s="19"/>
      <c r="COT80" s="19"/>
      <c r="COU80" s="19"/>
      <c r="COV80" s="19"/>
      <c r="COW80" s="19"/>
      <c r="COX80" s="19"/>
      <c r="COY80" s="19"/>
      <c r="COZ80" s="19"/>
      <c r="CPA80" s="19"/>
      <c r="CPB80" s="19"/>
      <c r="CPC80" s="19"/>
      <c r="CPD80" s="19"/>
      <c r="CPE80" s="19"/>
      <c r="CPF80" s="19"/>
      <c r="CPG80" s="19"/>
      <c r="CPH80" s="19"/>
      <c r="CPI80" s="19"/>
      <c r="CPJ80" s="19"/>
      <c r="CPK80" s="19"/>
      <c r="CPL80" s="19"/>
      <c r="CPM80" s="19"/>
      <c r="CPN80" s="19"/>
      <c r="CPO80" s="19"/>
      <c r="CPP80" s="19"/>
      <c r="CPQ80" s="19"/>
      <c r="CPR80" s="19"/>
      <c r="CPS80" s="19"/>
      <c r="CPT80" s="19"/>
      <c r="CPU80" s="19"/>
      <c r="CPV80" s="19"/>
      <c r="CPW80" s="19"/>
      <c r="CPX80" s="19"/>
      <c r="CPY80" s="19"/>
      <c r="CPZ80" s="19"/>
      <c r="CQA80" s="19"/>
      <c r="CQB80" s="19"/>
      <c r="CQC80" s="19"/>
      <c r="CQD80" s="19"/>
      <c r="CQE80" s="19"/>
      <c r="CQF80" s="19"/>
      <c r="CQG80" s="19"/>
      <c r="CQH80" s="19"/>
      <c r="CQI80" s="19"/>
      <c r="CQJ80" s="19"/>
      <c r="CQK80" s="19"/>
      <c r="CQL80" s="19"/>
      <c r="CQM80" s="19"/>
      <c r="CQN80" s="19"/>
      <c r="CQO80" s="19"/>
      <c r="CQP80" s="19"/>
      <c r="CQQ80" s="19"/>
      <c r="CQR80" s="19"/>
      <c r="CQS80" s="19"/>
      <c r="CQT80" s="19"/>
      <c r="CQU80" s="19"/>
      <c r="CQV80" s="19"/>
      <c r="CQW80" s="19"/>
      <c r="CQX80" s="19"/>
      <c r="CQY80" s="19"/>
      <c r="CQZ80" s="19"/>
      <c r="CRA80" s="19"/>
      <c r="CRB80" s="19"/>
      <c r="CRC80" s="19"/>
      <c r="CRD80" s="19"/>
      <c r="CRE80" s="19"/>
      <c r="CRF80" s="19"/>
      <c r="CRG80" s="19"/>
      <c r="CRH80" s="19"/>
      <c r="CRI80" s="19"/>
      <c r="CRJ80" s="19"/>
      <c r="CRK80" s="19"/>
      <c r="CRL80" s="19"/>
      <c r="CRM80" s="19"/>
      <c r="CRN80" s="19"/>
      <c r="CRO80" s="19"/>
      <c r="CRP80" s="19"/>
      <c r="CRQ80" s="19"/>
      <c r="CRR80" s="19"/>
      <c r="CRS80" s="19"/>
      <c r="CRT80" s="19"/>
      <c r="CRU80" s="19"/>
      <c r="CRV80" s="19"/>
      <c r="CRW80" s="19"/>
      <c r="CRX80" s="19"/>
      <c r="CRY80" s="19"/>
      <c r="CRZ80" s="19"/>
      <c r="CSA80" s="19"/>
      <c r="CSB80" s="19"/>
      <c r="CSC80" s="19"/>
      <c r="CSD80" s="19"/>
      <c r="CSE80" s="19"/>
      <c r="CSF80" s="19"/>
      <c r="CSG80" s="19"/>
      <c r="CSH80" s="19"/>
      <c r="CSI80" s="19"/>
      <c r="CSJ80" s="19"/>
      <c r="CSK80" s="19"/>
      <c r="CSL80" s="19"/>
      <c r="CSM80" s="19"/>
      <c r="CSN80" s="19"/>
      <c r="CSO80" s="19"/>
      <c r="CSP80" s="19"/>
      <c r="CSQ80" s="19"/>
      <c r="CSR80" s="19"/>
      <c r="CSS80" s="19"/>
      <c r="CST80" s="19"/>
      <c r="CSU80" s="19"/>
      <c r="CSV80" s="19"/>
      <c r="CSW80" s="19"/>
      <c r="CSX80" s="19"/>
      <c r="CSY80" s="19"/>
      <c r="CSZ80" s="19"/>
      <c r="CTA80" s="19"/>
      <c r="CTB80" s="19"/>
      <c r="CTC80" s="19"/>
      <c r="CTD80" s="19"/>
      <c r="CTE80" s="19"/>
      <c r="CTF80" s="19"/>
      <c r="CTG80" s="19"/>
      <c r="CTH80" s="19"/>
      <c r="CTI80" s="19"/>
      <c r="CTJ80" s="19"/>
      <c r="CTK80" s="19"/>
      <c r="CTL80" s="19"/>
      <c r="CTM80" s="19"/>
      <c r="CTN80" s="19"/>
      <c r="CTO80" s="19"/>
      <c r="CTP80" s="19"/>
      <c r="CTQ80" s="19"/>
      <c r="CTR80" s="19"/>
      <c r="CTS80" s="19"/>
      <c r="CTT80" s="19"/>
      <c r="CTU80" s="19"/>
      <c r="CTV80" s="19"/>
      <c r="CTW80" s="19"/>
      <c r="CTX80" s="19"/>
      <c r="CTY80" s="19"/>
      <c r="CTZ80" s="19"/>
      <c r="CUA80" s="19"/>
    </row>
    <row r="81" s="19" customFormat="1" ht="15" customHeight="1" spans="1:16384">
      <c r="A81" s="51">
        <v>10</v>
      </c>
      <c r="B81" s="53" t="s">
        <v>157</v>
      </c>
      <c r="C81" s="168" t="s">
        <v>158</v>
      </c>
      <c r="D81" s="50" t="s">
        <v>27</v>
      </c>
      <c r="E81" s="138">
        <f>E78</f>
        <v>40.66</v>
      </c>
      <c r="F81" s="138"/>
      <c r="G81" s="138"/>
      <c r="H81" s="112" t="s">
        <v>97</v>
      </c>
      <c r="I81" s="20">
        <f>4.9876</f>
        <v>4.9876</v>
      </c>
      <c r="J81" s="150">
        <v>0.5749</v>
      </c>
      <c r="K81" s="150">
        <v>0.5996</v>
      </c>
      <c r="L81" s="148">
        <f t="shared" si="62"/>
        <v>1.1471023904</v>
      </c>
      <c r="M81" s="148">
        <f t="shared" si="63"/>
        <v>0.6954119408</v>
      </c>
      <c r="N81" s="148">
        <f t="shared" si="56"/>
        <v>1.080622934712</v>
      </c>
      <c r="O81" s="148">
        <f t="shared" si="64"/>
        <v>0.99752</v>
      </c>
      <c r="P81" s="148">
        <f t="shared" si="65"/>
        <v>0.9084164672</v>
      </c>
      <c r="Q81" s="148">
        <f t="shared" si="66"/>
        <v>1.10791031229769</v>
      </c>
      <c r="R81" s="148">
        <f t="shared" si="67"/>
        <v>12.0990840454097</v>
      </c>
      <c r="S81" s="155">
        <f>R81+R82+R83+R84</f>
        <v>287.936315843629</v>
      </c>
      <c r="T81" s="159" t="s">
        <v>159</v>
      </c>
      <c r="XDY81" s="21"/>
      <c r="XDZ81" s="21"/>
      <c r="XEA81" s="21"/>
      <c r="XEB81" s="21"/>
      <c r="XEC81" s="21"/>
      <c r="XED81" s="21"/>
      <c r="XEE81" s="21"/>
      <c r="XEF81" s="21"/>
      <c r="XEG81" s="21"/>
      <c r="XEH81" s="21"/>
      <c r="XEI81" s="21"/>
      <c r="XEJ81" s="21"/>
      <c r="XEK81" s="21"/>
      <c r="XEL81" s="21"/>
      <c r="XEM81" s="21"/>
      <c r="XEN81" s="21"/>
      <c r="XEO81" s="21"/>
      <c r="XEP81" s="21"/>
      <c r="XEQ81" s="21"/>
      <c r="XER81" s="21"/>
      <c r="XES81" s="21"/>
      <c r="XET81" s="21"/>
      <c r="XEU81" s="21"/>
      <c r="XEV81" s="21"/>
      <c r="XEW81" s="21"/>
      <c r="XEX81" s="21"/>
      <c r="XEY81" s="21"/>
      <c r="XEZ81" s="21"/>
      <c r="XFA81" s="21"/>
      <c r="XFB81" s="21"/>
      <c r="XFC81" s="21"/>
      <c r="XFD81" s="21"/>
    </row>
    <row r="82" s="19" customFormat="1" ht="15" customHeight="1" spans="1:16384">
      <c r="A82" s="51"/>
      <c r="B82" s="53"/>
      <c r="C82" s="168"/>
      <c r="D82" s="50"/>
      <c r="E82" s="138"/>
      <c r="F82" s="138"/>
      <c r="G82" s="138"/>
      <c r="H82" s="112" t="s">
        <v>123</v>
      </c>
      <c r="I82" s="20">
        <f>2.5033</f>
        <v>2.5033</v>
      </c>
      <c r="J82" s="150">
        <f>0.0047</f>
        <v>0.0047</v>
      </c>
      <c r="K82" s="150"/>
      <c r="L82" s="148">
        <f t="shared" si="62"/>
        <v>0.57025174</v>
      </c>
      <c r="M82" s="148">
        <f t="shared" si="63"/>
        <v>0.34570573</v>
      </c>
      <c r="N82" s="148">
        <f t="shared" si="56"/>
        <v>0.46223425845</v>
      </c>
      <c r="O82" s="148">
        <f t="shared" si="64"/>
        <v>0.50066</v>
      </c>
      <c r="P82" s="148">
        <f t="shared" si="65"/>
        <v>0.45159532</v>
      </c>
      <c r="Q82" s="148">
        <f t="shared" si="66"/>
        <v>0.48771546248376</v>
      </c>
      <c r="R82" s="148">
        <f t="shared" si="67"/>
        <v>5.32616251093376</v>
      </c>
      <c r="S82" s="155"/>
      <c r="T82" s="159" t="s">
        <v>160</v>
      </c>
      <c r="XDY82" s="21"/>
      <c r="XDZ82" s="21"/>
      <c r="XEA82" s="21"/>
      <c r="XEB82" s="21"/>
      <c r="XEC82" s="21"/>
      <c r="XED82" s="21"/>
      <c r="XEE82" s="21"/>
      <c r="XEF82" s="21"/>
      <c r="XEG82" s="21"/>
      <c r="XEH82" s="21"/>
      <c r="XEI82" s="21"/>
      <c r="XEJ82" s="21"/>
      <c r="XEK82" s="21"/>
      <c r="XEL82" s="21"/>
      <c r="XEM82" s="21"/>
      <c r="XEN82" s="21"/>
      <c r="XEO82" s="21"/>
      <c r="XEP82" s="21"/>
      <c r="XEQ82" s="21"/>
      <c r="XER82" s="21"/>
      <c r="XES82" s="21"/>
      <c r="XET82" s="21"/>
      <c r="XEU82" s="21"/>
      <c r="XEV82" s="21"/>
      <c r="XEW82" s="21"/>
      <c r="XEX82" s="21"/>
      <c r="XEY82" s="21"/>
      <c r="XEZ82" s="21"/>
      <c r="XFA82" s="21"/>
      <c r="XFB82" s="21"/>
      <c r="XFC82" s="21"/>
      <c r="XFD82" s="21"/>
    </row>
    <row r="83" s="19" customFormat="1" ht="15" customHeight="1" spans="1:16384">
      <c r="A83" s="51"/>
      <c r="B83" s="53"/>
      <c r="C83" s="168"/>
      <c r="D83" s="50"/>
      <c r="E83" s="138"/>
      <c r="F83" s="138"/>
      <c r="G83" s="138"/>
      <c r="H83" s="112" t="s">
        <v>155</v>
      </c>
      <c r="I83" s="20">
        <v>34.3306</v>
      </c>
      <c r="J83" s="150">
        <v>81.0607</v>
      </c>
      <c r="K83" s="150"/>
      <c r="L83" s="148">
        <f t="shared" si="62"/>
        <v>7.82051068</v>
      </c>
      <c r="M83" s="148">
        <f t="shared" si="63"/>
        <v>4.74105586</v>
      </c>
      <c r="N83" s="148">
        <f t="shared" si="56"/>
        <v>17.2736369829</v>
      </c>
      <c r="O83" s="148">
        <f t="shared" si="64"/>
        <v>6.86612</v>
      </c>
      <c r="P83" s="148">
        <f t="shared" si="65"/>
        <v>6.19324024</v>
      </c>
      <c r="Q83" s="148">
        <f t="shared" si="66"/>
        <v>15.9552150673003</v>
      </c>
      <c r="R83" s="148">
        <f t="shared" si="67"/>
        <v>174.2410788302</v>
      </c>
      <c r="S83" s="155"/>
      <c r="T83" s="159"/>
      <c r="XDY83" s="21"/>
      <c r="XDZ83" s="21"/>
      <c r="XEA83" s="21"/>
      <c r="XEB83" s="21"/>
      <c r="XEC83" s="21"/>
      <c r="XED83" s="21"/>
      <c r="XEE83" s="21"/>
      <c r="XEF83" s="21"/>
      <c r="XEG83" s="21"/>
      <c r="XEH83" s="21"/>
      <c r="XEI83" s="21"/>
      <c r="XEJ83" s="21"/>
      <c r="XEK83" s="21"/>
      <c r="XEL83" s="21"/>
      <c r="XEM83" s="21"/>
      <c r="XEN83" s="21"/>
      <c r="XEO83" s="21"/>
      <c r="XEP83" s="21"/>
      <c r="XEQ83" s="21"/>
      <c r="XER83" s="21"/>
      <c r="XES83" s="21"/>
      <c r="XET83" s="21"/>
      <c r="XEU83" s="21"/>
      <c r="XEV83" s="21"/>
      <c r="XEW83" s="21"/>
      <c r="XEX83" s="21"/>
      <c r="XEY83" s="21"/>
      <c r="XEZ83" s="21"/>
      <c r="XFA83" s="21"/>
      <c r="XFB83" s="21"/>
      <c r="XFC83" s="21"/>
      <c r="XFD83" s="21"/>
    </row>
    <row r="84" s="19" customFormat="1" ht="15" customHeight="1" spans="1:16384">
      <c r="A84" s="51"/>
      <c r="B84" s="53"/>
      <c r="C84" s="168"/>
      <c r="D84" s="50"/>
      <c r="E84" s="138"/>
      <c r="F84" s="138"/>
      <c r="G84" s="138"/>
      <c r="H84" s="112" t="s">
        <v>161</v>
      </c>
      <c r="I84" s="20">
        <f>11.5202</f>
        <v>11.5202</v>
      </c>
      <c r="J84" s="150">
        <v>57.456</v>
      </c>
      <c r="K84" s="150"/>
      <c r="L84" s="148">
        <f t="shared" ref="L84:L102" si="68">(I84+K84*8%)*22.78%</f>
        <v>2.62430156</v>
      </c>
      <c r="M84" s="148">
        <f t="shared" ref="M84:M102" si="69">(I84+K84*8%)*13.81%</f>
        <v>1.59093962</v>
      </c>
      <c r="N84" s="148">
        <f t="shared" ref="N84:N102" si="70">(I84+J84+K84+L84+M84)*13.5%</f>
        <v>9.8808445593</v>
      </c>
      <c r="O84" s="148">
        <f t="shared" ref="O84:O102" si="71">I84*20%</f>
        <v>2.30404</v>
      </c>
      <c r="P84" s="148">
        <f t="shared" ref="P84:P102" si="72">(I84+K84*8%)*18.04%</f>
        <v>2.07824408</v>
      </c>
      <c r="Q84" s="148">
        <f t="shared" ref="Q84:Q102" si="73">(I84+J84+K84+L84+M84+N84+O84+P84)*9%*(1+12%)</f>
        <v>8.81542063778544</v>
      </c>
      <c r="R84" s="148">
        <f t="shared" ref="R84:R102" si="74">I84+J84+K84+L84+M84+N84+O84+P84+Q84</f>
        <v>96.2699904570855</v>
      </c>
      <c r="S84" s="155"/>
      <c r="T84" s="159" t="s">
        <v>162</v>
      </c>
      <c r="XDY84" s="21"/>
      <c r="XDZ84" s="21"/>
      <c r="XEA84" s="21"/>
      <c r="XEB84" s="21"/>
      <c r="XEC84" s="21"/>
      <c r="XED84" s="21"/>
      <c r="XEE84" s="21"/>
      <c r="XEF84" s="21"/>
      <c r="XEG84" s="21"/>
      <c r="XEH84" s="21"/>
      <c r="XEI84" s="21"/>
      <c r="XEJ84" s="21"/>
      <c r="XEK84" s="21"/>
      <c r="XEL84" s="21"/>
      <c r="XEM84" s="21"/>
      <c r="XEN84" s="21"/>
      <c r="XEO84" s="21"/>
      <c r="XEP84" s="21"/>
      <c r="XEQ84" s="21"/>
      <c r="XER84" s="21"/>
      <c r="XES84" s="21"/>
      <c r="XET84" s="21"/>
      <c r="XEU84" s="21"/>
      <c r="XEV84" s="21"/>
      <c r="XEW84" s="21"/>
      <c r="XEX84" s="21"/>
      <c r="XEY84" s="21"/>
      <c r="XEZ84" s="21"/>
      <c r="XFA84" s="21"/>
      <c r="XFB84" s="21"/>
      <c r="XFC84" s="21"/>
      <c r="XFD84" s="21"/>
    </row>
    <row r="85" s="19" customFormat="1" ht="22.5" customHeight="1" spans="1:16384">
      <c r="A85" s="51">
        <v>11</v>
      </c>
      <c r="B85" s="53" t="s">
        <v>163</v>
      </c>
      <c r="C85" s="168" t="s">
        <v>164</v>
      </c>
      <c r="D85" s="169" t="s">
        <v>27</v>
      </c>
      <c r="E85" s="117">
        <f>2.8*2.5+1.45*3.4*2+5.2*1.1</f>
        <v>22.58</v>
      </c>
      <c r="F85" s="138"/>
      <c r="G85" s="138"/>
      <c r="H85" s="112" t="s">
        <v>97</v>
      </c>
      <c r="I85" s="20">
        <f>4.9876</f>
        <v>4.9876</v>
      </c>
      <c r="J85" s="150">
        <v>0.5749</v>
      </c>
      <c r="K85" s="150">
        <v>0.5996</v>
      </c>
      <c r="L85" s="148">
        <f t="shared" si="68"/>
        <v>1.1471023904</v>
      </c>
      <c r="M85" s="148">
        <f t="shared" si="69"/>
        <v>0.6954119408</v>
      </c>
      <c r="N85" s="148">
        <f t="shared" si="70"/>
        <v>1.080622934712</v>
      </c>
      <c r="O85" s="148">
        <f t="shared" si="71"/>
        <v>0.99752</v>
      </c>
      <c r="P85" s="148">
        <f t="shared" si="72"/>
        <v>0.9084164672</v>
      </c>
      <c r="Q85" s="148">
        <f t="shared" si="73"/>
        <v>1.10791031229769</v>
      </c>
      <c r="R85" s="148">
        <f t="shared" si="74"/>
        <v>12.0990840454097</v>
      </c>
      <c r="S85" s="155">
        <f t="shared" ref="S85:S89" si="75">R85+R86</f>
        <v>324.613379946675</v>
      </c>
      <c r="T85" s="159" t="s">
        <v>159</v>
      </c>
      <c r="XDY85" s="21"/>
      <c r="XDZ85" s="21"/>
      <c r="XEA85" s="21"/>
      <c r="XEB85" s="21"/>
      <c r="XEC85" s="21"/>
      <c r="XED85" s="21"/>
      <c r="XEE85" s="21"/>
      <c r="XEF85" s="21"/>
      <c r="XEG85" s="21"/>
      <c r="XEH85" s="21"/>
      <c r="XEI85" s="21"/>
      <c r="XEJ85" s="21"/>
      <c r="XEK85" s="21"/>
      <c r="XEL85" s="21"/>
      <c r="XEM85" s="21"/>
      <c r="XEN85" s="21"/>
      <c r="XEO85" s="21"/>
      <c r="XEP85" s="21"/>
      <c r="XEQ85" s="21"/>
      <c r="XER85" s="21"/>
      <c r="XES85" s="21"/>
      <c r="XET85" s="21"/>
      <c r="XEU85" s="21"/>
      <c r="XEV85" s="21"/>
      <c r="XEW85" s="21"/>
      <c r="XEX85" s="21"/>
      <c r="XEY85" s="21"/>
      <c r="XEZ85" s="21"/>
      <c r="XFA85" s="21"/>
      <c r="XFB85" s="21"/>
      <c r="XFC85" s="21"/>
      <c r="XFD85" s="21"/>
    </row>
    <row r="86" s="19" customFormat="1" ht="22.5" customHeight="1" spans="1:16384">
      <c r="A86" s="51"/>
      <c r="B86" s="53"/>
      <c r="C86" s="168"/>
      <c r="D86" s="169"/>
      <c r="E86" s="117"/>
      <c r="F86" s="138"/>
      <c r="G86" s="138"/>
      <c r="H86" s="112" t="s">
        <v>165</v>
      </c>
      <c r="I86" s="20">
        <f>58.8821</f>
        <v>58.8821</v>
      </c>
      <c r="J86" s="150">
        <v>146.4578</v>
      </c>
      <c r="K86" s="150">
        <v>3.369</v>
      </c>
      <c r="L86" s="148">
        <f t="shared" si="68"/>
        <v>13.474739036</v>
      </c>
      <c r="M86" s="148">
        <f t="shared" si="69"/>
        <v>8.168838722</v>
      </c>
      <c r="N86" s="148">
        <f t="shared" si="70"/>
        <v>31.09758449733</v>
      </c>
      <c r="O86" s="148">
        <f t="shared" si="71"/>
        <v>11.77642</v>
      </c>
      <c r="P86" s="148">
        <f t="shared" si="72"/>
        <v>10.670952248</v>
      </c>
      <c r="Q86" s="148">
        <f t="shared" si="73"/>
        <v>28.6168613979357</v>
      </c>
      <c r="R86" s="148">
        <f t="shared" si="74"/>
        <v>312.514295901266</v>
      </c>
      <c r="S86" s="155"/>
      <c r="T86" s="159" t="s">
        <v>166</v>
      </c>
      <c r="XDY86" s="21"/>
      <c r="XDZ86" s="21"/>
      <c r="XEA86" s="21"/>
      <c r="XEB86" s="21"/>
      <c r="XEC86" s="21"/>
      <c r="XED86" s="21"/>
      <c r="XEE86" s="21"/>
      <c r="XEF86" s="21"/>
      <c r="XEG86" s="21"/>
      <c r="XEH86" s="21"/>
      <c r="XEI86" s="21"/>
      <c r="XEJ86" s="21"/>
      <c r="XEK86" s="21"/>
      <c r="XEL86" s="21"/>
      <c r="XEM86" s="21"/>
      <c r="XEN86" s="21"/>
      <c r="XEO86" s="21"/>
      <c r="XEP86" s="21"/>
      <c r="XEQ86" s="21"/>
      <c r="XER86" s="21"/>
      <c r="XES86" s="21"/>
      <c r="XET86" s="21"/>
      <c r="XEU86" s="21"/>
      <c r="XEV86" s="21"/>
      <c r="XEW86" s="21"/>
      <c r="XEX86" s="21"/>
      <c r="XEY86" s="21"/>
      <c r="XEZ86" s="21"/>
      <c r="XFA86" s="21"/>
      <c r="XFB86" s="21"/>
      <c r="XFC86" s="21"/>
      <c r="XFD86" s="21"/>
    </row>
    <row r="87" s="19" customFormat="1" ht="20.5" customHeight="1" spans="1:16384">
      <c r="A87" s="51">
        <v>12</v>
      </c>
      <c r="B87" s="53" t="s">
        <v>167</v>
      </c>
      <c r="C87" s="53" t="s">
        <v>168</v>
      </c>
      <c r="D87" s="50" t="s">
        <v>27</v>
      </c>
      <c r="E87" s="138">
        <f>120.8</f>
        <v>120.8</v>
      </c>
      <c r="F87" s="138"/>
      <c r="G87" s="138"/>
      <c r="H87" s="112" t="s">
        <v>97</v>
      </c>
      <c r="I87" s="20">
        <f>4.9876</f>
        <v>4.9876</v>
      </c>
      <c r="J87" s="150">
        <v>0.5749</v>
      </c>
      <c r="K87" s="150">
        <v>0.5996</v>
      </c>
      <c r="L87" s="148">
        <f t="shared" si="68"/>
        <v>1.1471023904</v>
      </c>
      <c r="M87" s="148">
        <f t="shared" si="69"/>
        <v>0.6954119408</v>
      </c>
      <c r="N87" s="148">
        <f t="shared" si="70"/>
        <v>1.080622934712</v>
      </c>
      <c r="O87" s="148">
        <f t="shared" si="71"/>
        <v>0.99752</v>
      </c>
      <c r="P87" s="148">
        <f t="shared" si="72"/>
        <v>0.9084164672</v>
      </c>
      <c r="Q87" s="148">
        <f t="shared" si="73"/>
        <v>1.10791031229769</v>
      </c>
      <c r="R87" s="148">
        <f t="shared" si="74"/>
        <v>12.0990840454097</v>
      </c>
      <c r="S87" s="155">
        <f t="shared" si="75"/>
        <v>161.345373544392</v>
      </c>
      <c r="T87" s="159" t="s">
        <v>30</v>
      </c>
      <c r="XDY87" s="21"/>
      <c r="XDZ87" s="21"/>
      <c r="XEA87" s="21"/>
      <c r="XEB87" s="21"/>
      <c r="XEC87" s="21"/>
      <c r="XED87" s="21"/>
      <c r="XEE87" s="21"/>
      <c r="XEF87" s="21"/>
      <c r="XEG87" s="21"/>
      <c r="XEH87" s="21"/>
      <c r="XEI87" s="21"/>
      <c r="XEJ87" s="21"/>
      <c r="XEK87" s="21"/>
      <c r="XEL87" s="21"/>
      <c r="XEM87" s="21"/>
      <c r="XEN87" s="21"/>
      <c r="XEO87" s="21"/>
      <c r="XEP87" s="21"/>
      <c r="XEQ87" s="21"/>
      <c r="XER87" s="21"/>
      <c r="XES87" s="21"/>
      <c r="XET87" s="21"/>
      <c r="XEU87" s="21"/>
      <c r="XEV87" s="21"/>
      <c r="XEW87" s="21"/>
      <c r="XEX87" s="21"/>
      <c r="XEY87" s="21"/>
      <c r="XEZ87" s="21"/>
      <c r="XFA87" s="21"/>
      <c r="XFB87" s="21"/>
      <c r="XFC87" s="21"/>
      <c r="XFD87" s="21"/>
    </row>
    <row r="88" s="19" customFormat="1" ht="20.5" customHeight="1" spans="1:16384">
      <c r="A88" s="51"/>
      <c r="B88" s="53"/>
      <c r="C88" s="53"/>
      <c r="D88" s="50"/>
      <c r="E88" s="138"/>
      <c r="F88" s="138"/>
      <c r="G88" s="138"/>
      <c r="H88" s="112" t="s">
        <v>169</v>
      </c>
      <c r="I88" s="20">
        <f>7.1954+5.7483*2</f>
        <v>18.692</v>
      </c>
      <c r="J88" s="150">
        <f>31.7595+27.949*2</f>
        <v>87.6575</v>
      </c>
      <c r="K88" s="150"/>
      <c r="L88" s="148">
        <f t="shared" si="68"/>
        <v>4.2580376</v>
      </c>
      <c r="M88" s="148">
        <f t="shared" si="69"/>
        <v>2.5813652</v>
      </c>
      <c r="N88" s="148">
        <f t="shared" si="70"/>
        <v>15.280501878</v>
      </c>
      <c r="O88" s="148">
        <f t="shared" si="71"/>
        <v>3.7384</v>
      </c>
      <c r="P88" s="148">
        <f t="shared" si="72"/>
        <v>3.3720368</v>
      </c>
      <c r="Q88" s="148">
        <f t="shared" si="73"/>
        <v>13.6664480209824</v>
      </c>
      <c r="R88" s="148">
        <f t="shared" si="74"/>
        <v>149.246289498982</v>
      </c>
      <c r="S88" s="155"/>
      <c r="T88" s="159"/>
      <c r="XDY88" s="21"/>
      <c r="XDZ88" s="21"/>
      <c r="XEA88" s="21"/>
      <c r="XEB88" s="21"/>
      <c r="XEC88" s="21"/>
      <c r="XED88" s="21"/>
      <c r="XEE88" s="21"/>
      <c r="XEF88" s="21"/>
      <c r="XEG88" s="21"/>
      <c r="XEH88" s="21"/>
      <c r="XEI88" s="21"/>
      <c r="XEJ88" s="21"/>
      <c r="XEK88" s="21"/>
      <c r="XEL88" s="21"/>
      <c r="XEM88" s="21"/>
      <c r="XEN88" s="21"/>
      <c r="XEO88" s="21"/>
      <c r="XEP88" s="21"/>
      <c r="XEQ88" s="21"/>
      <c r="XER88" s="21"/>
      <c r="XES88" s="21"/>
      <c r="XET88" s="21"/>
      <c r="XEU88" s="21"/>
      <c r="XEV88" s="21"/>
      <c r="XEW88" s="21"/>
      <c r="XEX88" s="21"/>
      <c r="XEY88" s="21"/>
      <c r="XEZ88" s="21"/>
      <c r="XFA88" s="21"/>
      <c r="XFB88" s="21"/>
      <c r="XFC88" s="21"/>
      <c r="XFD88" s="21"/>
    </row>
    <row r="89" s="19" customFormat="1" ht="20.5" customHeight="1" spans="1:16384">
      <c r="A89" s="170">
        <v>13</v>
      </c>
      <c r="B89" s="62" t="s">
        <v>170</v>
      </c>
      <c r="C89" s="53" t="s">
        <v>171</v>
      </c>
      <c r="D89" s="50" t="s">
        <v>27</v>
      </c>
      <c r="E89" s="194">
        <f>2.42*1.4+2.42*1+0.47*9*2*1.12*5</f>
        <v>53.184</v>
      </c>
      <c r="F89" s="194"/>
      <c r="G89" s="194"/>
      <c r="H89" s="112" t="s">
        <v>172</v>
      </c>
      <c r="I89" s="20">
        <v>3.932</v>
      </c>
      <c r="J89" s="150"/>
      <c r="K89" s="153"/>
      <c r="L89" s="148">
        <f t="shared" si="68"/>
        <v>0.8957096</v>
      </c>
      <c r="M89" s="148">
        <f t="shared" si="69"/>
        <v>0.5430092</v>
      </c>
      <c r="N89" s="148">
        <f t="shared" si="70"/>
        <v>0.725047038</v>
      </c>
      <c r="O89" s="148">
        <f t="shared" si="71"/>
        <v>0.7864</v>
      </c>
      <c r="P89" s="148">
        <f t="shared" si="72"/>
        <v>0.7093328</v>
      </c>
      <c r="Q89" s="148">
        <f t="shared" si="73"/>
        <v>0.7652230627104</v>
      </c>
      <c r="R89" s="148">
        <f t="shared" si="74"/>
        <v>8.3567217007104</v>
      </c>
      <c r="S89" s="155">
        <f t="shared" si="75"/>
        <v>13.2524325031171</v>
      </c>
      <c r="T89" s="159" t="s">
        <v>173</v>
      </c>
      <c r="XDY89" s="21"/>
      <c r="XDZ89" s="21"/>
      <c r="XEA89" s="21"/>
      <c r="XEB89" s="21"/>
      <c r="XEC89" s="21"/>
      <c r="XED89" s="21"/>
      <c r="XEE89" s="21"/>
      <c r="XEF89" s="21"/>
      <c r="XEG89" s="21"/>
      <c r="XEH89" s="21"/>
      <c r="XEI89" s="21"/>
      <c r="XEJ89" s="21"/>
      <c r="XEK89" s="21"/>
      <c r="XEL89" s="21"/>
      <c r="XEM89" s="21"/>
      <c r="XEN89" s="21"/>
      <c r="XEO89" s="21"/>
      <c r="XEP89" s="21"/>
      <c r="XEQ89" s="21"/>
      <c r="XER89" s="21"/>
      <c r="XES89" s="21"/>
      <c r="XET89" s="21"/>
      <c r="XEU89" s="21"/>
      <c r="XEV89" s="21"/>
      <c r="XEW89" s="21"/>
      <c r="XEX89" s="21"/>
      <c r="XEY89" s="21"/>
      <c r="XEZ89" s="21"/>
      <c r="XFA89" s="21"/>
      <c r="XFB89" s="21"/>
      <c r="XFC89" s="21"/>
      <c r="XFD89" s="21"/>
    </row>
    <row r="90" s="19" customFormat="1" ht="20.5" customHeight="1" spans="1:16384">
      <c r="A90" s="171"/>
      <c r="B90" s="63"/>
      <c r="C90" s="53"/>
      <c r="D90" s="50"/>
      <c r="E90" s="195"/>
      <c r="F90" s="195"/>
      <c r="G90" s="196"/>
      <c r="H90" s="112" t="s">
        <v>37</v>
      </c>
      <c r="I90" s="20"/>
      <c r="J90" s="150"/>
      <c r="K90" s="153">
        <f>200/E89</f>
        <v>3.76052948255114</v>
      </c>
      <c r="L90" s="148">
        <f t="shared" si="68"/>
        <v>0.068531889290012</v>
      </c>
      <c r="M90" s="148">
        <f t="shared" si="69"/>
        <v>0.041546329723225</v>
      </c>
      <c r="N90" s="148">
        <f t="shared" si="70"/>
        <v>0.522532039711191</v>
      </c>
      <c r="O90" s="148">
        <f t="shared" si="71"/>
        <v>0</v>
      </c>
      <c r="P90" s="148">
        <f t="shared" si="72"/>
        <v>0.0542719614921781</v>
      </c>
      <c r="Q90" s="148">
        <f t="shared" si="73"/>
        <v>0.448299099638989</v>
      </c>
      <c r="R90" s="148">
        <f t="shared" si="74"/>
        <v>4.89571080240674</v>
      </c>
      <c r="S90" s="155"/>
      <c r="T90" s="159"/>
      <c r="XDY90" s="21"/>
      <c r="XDZ90" s="21"/>
      <c r="XEA90" s="21"/>
      <c r="XEB90" s="21"/>
      <c r="XEC90" s="21"/>
      <c r="XED90" s="21"/>
      <c r="XEE90" s="21"/>
      <c r="XEF90" s="21"/>
      <c r="XEG90" s="21"/>
      <c r="XEH90" s="21"/>
      <c r="XEI90" s="21"/>
      <c r="XEJ90" s="21"/>
      <c r="XEK90" s="21"/>
      <c r="XEL90" s="21"/>
      <c r="XEM90" s="21"/>
      <c r="XEN90" s="21"/>
      <c r="XEO90" s="21"/>
      <c r="XEP90" s="21"/>
      <c r="XEQ90" s="21"/>
      <c r="XER90" s="21"/>
      <c r="XES90" s="21"/>
      <c r="XET90" s="21"/>
      <c r="XEU90" s="21"/>
      <c r="XEV90" s="21"/>
      <c r="XEW90" s="21"/>
      <c r="XEX90" s="21"/>
      <c r="XEY90" s="21"/>
      <c r="XEZ90" s="21"/>
      <c r="XFA90" s="21"/>
      <c r="XFB90" s="21"/>
      <c r="XFC90" s="21"/>
      <c r="XFD90" s="21"/>
    </row>
    <row r="91" s="19" customFormat="1" ht="15" customHeight="1" spans="1:16384">
      <c r="A91" s="51">
        <v>14</v>
      </c>
      <c r="B91" s="53" t="s">
        <v>174</v>
      </c>
      <c r="C91" s="168" t="s">
        <v>175</v>
      </c>
      <c r="D91" s="50" t="s">
        <v>27</v>
      </c>
      <c r="E91" s="138">
        <f>0.9*1.2+3.2*1.1+3.1*1.1+2.1*3.6</f>
        <v>15.57</v>
      </c>
      <c r="F91" s="138"/>
      <c r="G91" s="194"/>
      <c r="H91" s="112" t="s">
        <v>133</v>
      </c>
      <c r="I91" s="20">
        <f>(42.51)*0.02</f>
        <v>0.8502</v>
      </c>
      <c r="J91" s="150">
        <f>(0.08)*0.02</f>
        <v>0.0016</v>
      </c>
      <c r="K91" s="150">
        <v>0.0796</v>
      </c>
      <c r="L91" s="148">
        <f t="shared" si="68"/>
        <v>0.1951261904</v>
      </c>
      <c r="M91" s="148">
        <f t="shared" si="69"/>
        <v>0.1182920408</v>
      </c>
      <c r="N91" s="148">
        <f t="shared" si="70"/>
        <v>0.168050461212</v>
      </c>
      <c r="O91" s="148">
        <f t="shared" si="71"/>
        <v>0.17004</v>
      </c>
      <c r="P91" s="148">
        <f t="shared" si="72"/>
        <v>0.1545248672</v>
      </c>
      <c r="Q91" s="148">
        <f t="shared" si="73"/>
        <v>0.17513330280889</v>
      </c>
      <c r="R91" s="148">
        <f t="shared" si="74"/>
        <v>1.91256686242089</v>
      </c>
      <c r="S91" s="155">
        <f>R91+R92+R93</f>
        <v>326.025798928317</v>
      </c>
      <c r="T91" s="159" t="s">
        <v>141</v>
      </c>
      <c r="XDY91" s="21"/>
      <c r="XDZ91" s="21"/>
      <c r="XEA91" s="21"/>
      <c r="XEB91" s="21"/>
      <c r="XEC91" s="21"/>
      <c r="XED91" s="21"/>
      <c r="XEE91" s="21"/>
      <c r="XEF91" s="21"/>
      <c r="XEG91" s="21"/>
      <c r="XEH91" s="21"/>
      <c r="XEI91" s="21"/>
      <c r="XEJ91" s="21"/>
      <c r="XEK91" s="21"/>
      <c r="XEL91" s="21"/>
      <c r="XEM91" s="21"/>
      <c r="XEN91" s="21"/>
      <c r="XEO91" s="21"/>
      <c r="XEP91" s="21"/>
      <c r="XEQ91" s="21"/>
      <c r="XER91" s="21"/>
      <c r="XES91" s="21"/>
      <c r="XET91" s="21"/>
      <c r="XEU91" s="21"/>
      <c r="XEV91" s="21"/>
      <c r="XEW91" s="21"/>
      <c r="XEX91" s="21"/>
      <c r="XEY91" s="21"/>
      <c r="XEZ91" s="21"/>
      <c r="XFA91" s="21"/>
      <c r="XFB91" s="21"/>
      <c r="XFC91" s="21"/>
      <c r="XFD91" s="21"/>
    </row>
    <row r="92" s="19" customFormat="1" ht="15" customHeight="1" spans="1:16384">
      <c r="A92" s="51"/>
      <c r="B92" s="53"/>
      <c r="C92" s="168"/>
      <c r="D92" s="50"/>
      <c r="E92" s="138"/>
      <c r="F92" s="138"/>
      <c r="G92" s="196"/>
      <c r="H92" s="112" t="s">
        <v>147</v>
      </c>
      <c r="I92" s="20">
        <f>3.6293</f>
        <v>3.6293</v>
      </c>
      <c r="J92" s="155">
        <v>0.4757</v>
      </c>
      <c r="K92" s="150">
        <v>0.0975</v>
      </c>
      <c r="L92" s="148">
        <f t="shared" si="68"/>
        <v>0.82853138</v>
      </c>
      <c r="M92" s="148">
        <f t="shared" si="69"/>
        <v>0.50228351</v>
      </c>
      <c r="N92" s="148">
        <f t="shared" si="70"/>
        <v>0.74699751015</v>
      </c>
      <c r="O92" s="148">
        <f t="shared" si="71"/>
        <v>0.72586</v>
      </c>
      <c r="P92" s="148">
        <f t="shared" si="72"/>
        <v>0.65613284</v>
      </c>
      <c r="Q92" s="148">
        <f t="shared" si="73"/>
        <v>0.77236036820712</v>
      </c>
      <c r="R92" s="148">
        <f t="shared" si="74"/>
        <v>8.43466560835712</v>
      </c>
      <c r="S92" s="155"/>
      <c r="T92" s="159" t="s">
        <v>176</v>
      </c>
      <c r="XDY92" s="21"/>
      <c r="XDZ92" s="21"/>
      <c r="XEA92" s="21"/>
      <c r="XEB92" s="21"/>
      <c r="XEC92" s="21"/>
      <c r="XED92" s="21"/>
      <c r="XEE92" s="21"/>
      <c r="XEF92" s="21"/>
      <c r="XEG92" s="21"/>
      <c r="XEH92" s="21"/>
      <c r="XEI92" s="21"/>
      <c r="XEJ92" s="21"/>
      <c r="XEK92" s="21"/>
      <c r="XEL92" s="21"/>
      <c r="XEM92" s="21"/>
      <c r="XEN92" s="21"/>
      <c r="XEO92" s="21"/>
      <c r="XEP92" s="21"/>
      <c r="XEQ92" s="21"/>
      <c r="XER92" s="21"/>
      <c r="XES92" s="21"/>
      <c r="XET92" s="21"/>
      <c r="XEU92" s="21"/>
      <c r="XEV92" s="21"/>
      <c r="XEW92" s="21"/>
      <c r="XEX92" s="21"/>
      <c r="XEY92" s="21"/>
      <c r="XEZ92" s="21"/>
      <c r="XFA92" s="21"/>
      <c r="XFB92" s="21"/>
      <c r="XFC92" s="21"/>
      <c r="XFD92" s="21"/>
    </row>
    <row r="93" s="19" customFormat="1" ht="15" customHeight="1" spans="1:16384">
      <c r="A93" s="51"/>
      <c r="B93" s="53"/>
      <c r="C93" s="168"/>
      <c r="D93" s="50"/>
      <c r="E93" s="138"/>
      <c r="F93" s="138"/>
      <c r="G93" s="195"/>
      <c r="H93" s="112" t="s">
        <v>177</v>
      </c>
      <c r="I93" s="20">
        <f>87.1253</f>
        <v>87.1253</v>
      </c>
      <c r="J93" s="155">
        <v>104.1882</v>
      </c>
      <c r="K93" s="150">
        <v>0.2586</v>
      </c>
      <c r="L93" s="148">
        <f t="shared" si="68"/>
        <v>19.8518560664</v>
      </c>
      <c r="M93" s="148">
        <f t="shared" si="69"/>
        <v>12.0348609428</v>
      </c>
      <c r="N93" s="148">
        <f t="shared" si="70"/>
        <v>30.166940296242</v>
      </c>
      <c r="O93" s="148">
        <f t="shared" si="71"/>
        <v>17.42506</v>
      </c>
      <c r="P93" s="148">
        <f t="shared" si="72"/>
        <v>15.7211362352</v>
      </c>
      <c r="Q93" s="148">
        <f t="shared" si="73"/>
        <v>28.9066129168967</v>
      </c>
      <c r="R93" s="148">
        <f t="shared" si="74"/>
        <v>315.678566457539</v>
      </c>
      <c r="S93" s="155"/>
      <c r="T93" s="159" t="s">
        <v>178</v>
      </c>
      <c r="XDY93" s="21"/>
      <c r="XDZ93" s="21"/>
      <c r="XEA93" s="21"/>
      <c r="XEB93" s="21"/>
      <c r="XEC93" s="21"/>
      <c r="XED93" s="21"/>
      <c r="XEE93" s="21"/>
      <c r="XEF93" s="21"/>
      <c r="XEG93" s="21"/>
      <c r="XEH93" s="21"/>
      <c r="XEI93" s="21"/>
      <c r="XEJ93" s="21"/>
      <c r="XEK93" s="21"/>
      <c r="XEL93" s="21"/>
      <c r="XEM93" s="21"/>
      <c r="XEN93" s="21"/>
      <c r="XEO93" s="21"/>
      <c r="XEP93" s="21"/>
      <c r="XEQ93" s="21"/>
      <c r="XER93" s="21"/>
      <c r="XES93" s="21"/>
      <c r="XET93" s="21"/>
      <c r="XEU93" s="21"/>
      <c r="XEV93" s="21"/>
      <c r="XEW93" s="21"/>
      <c r="XEX93" s="21"/>
      <c r="XEY93" s="21"/>
      <c r="XEZ93" s="21"/>
      <c r="XFA93" s="21"/>
      <c r="XFB93" s="21"/>
      <c r="XFC93" s="21"/>
      <c r="XFD93" s="21"/>
    </row>
    <row r="94" s="19" customFormat="1" ht="15" customHeight="1" spans="1:16384">
      <c r="A94" s="170">
        <v>15</v>
      </c>
      <c r="B94" s="62" t="s">
        <v>179</v>
      </c>
      <c r="C94" s="62" t="s">
        <v>180</v>
      </c>
      <c r="D94" s="68" t="s">
        <v>42</v>
      </c>
      <c r="E94" s="194">
        <f>(1.92*2+2.8*2+2.5*3+5.1+2+2.8)*2.8*0.24</f>
        <v>18.03648</v>
      </c>
      <c r="F94" s="194"/>
      <c r="G94" s="196"/>
      <c r="H94" s="112" t="s">
        <v>29</v>
      </c>
      <c r="I94" s="20">
        <f>11.1475</f>
        <v>11.1475</v>
      </c>
      <c r="J94" s="150">
        <v>5.3576</v>
      </c>
      <c r="K94" s="150">
        <v>1.5063</v>
      </c>
      <c r="L94" s="148">
        <f t="shared" si="68"/>
        <v>2.5668513112</v>
      </c>
      <c r="M94" s="148">
        <f t="shared" si="69"/>
        <v>1.5561113524</v>
      </c>
      <c r="N94" s="148">
        <f t="shared" si="70"/>
        <v>2.988138959586</v>
      </c>
      <c r="O94" s="148">
        <f t="shared" si="71"/>
        <v>2.2295</v>
      </c>
      <c r="P94" s="148">
        <f t="shared" si="72"/>
        <v>2.0327479216</v>
      </c>
      <c r="Q94" s="148">
        <f t="shared" si="73"/>
        <v>2.96198275411443</v>
      </c>
      <c r="R94" s="148">
        <f t="shared" si="74"/>
        <v>32.3467322989004</v>
      </c>
      <c r="S94" s="155">
        <f>R94+R95+R96</f>
        <v>1125.29488461359</v>
      </c>
      <c r="T94" s="159" t="s">
        <v>30</v>
      </c>
      <c r="XDY94" s="21"/>
      <c r="XDZ94" s="21"/>
      <c r="XEA94" s="21"/>
      <c r="XEB94" s="21"/>
      <c r="XEC94" s="21"/>
      <c r="XED94" s="21"/>
      <c r="XEE94" s="21"/>
      <c r="XEF94" s="21"/>
      <c r="XEG94" s="21"/>
      <c r="XEH94" s="21"/>
      <c r="XEI94" s="21"/>
      <c r="XEJ94" s="21"/>
      <c r="XEK94" s="21"/>
      <c r="XEL94" s="21"/>
      <c r="XEM94" s="21"/>
      <c r="XEN94" s="21"/>
      <c r="XEO94" s="21"/>
      <c r="XEP94" s="21"/>
      <c r="XEQ94" s="21"/>
      <c r="XER94" s="21"/>
      <c r="XES94" s="21"/>
      <c r="XET94" s="21"/>
      <c r="XEU94" s="21"/>
      <c r="XEV94" s="21"/>
      <c r="XEW94" s="21"/>
      <c r="XEX94" s="21"/>
      <c r="XEY94" s="21"/>
      <c r="XEZ94" s="21"/>
      <c r="XFA94" s="21"/>
      <c r="XFB94" s="21"/>
      <c r="XFC94" s="21"/>
      <c r="XFD94" s="21"/>
    </row>
    <row r="95" s="19" customFormat="1" ht="15" customHeight="1" spans="1:16384">
      <c r="A95" s="172"/>
      <c r="B95" s="73"/>
      <c r="C95" s="73"/>
      <c r="D95" s="78"/>
      <c r="E95" s="196"/>
      <c r="F95" s="196"/>
      <c r="G95" s="196"/>
      <c r="H95" s="112" t="s">
        <v>181</v>
      </c>
      <c r="I95" s="20">
        <f>85.02*0.53</f>
        <v>45.0606</v>
      </c>
      <c r="J95" s="150">
        <f>0.15*0.53</f>
        <v>0.0795</v>
      </c>
      <c r="K95" s="150"/>
      <c r="L95" s="148">
        <f t="shared" si="68"/>
        <v>10.26480468</v>
      </c>
      <c r="M95" s="148">
        <f t="shared" si="69"/>
        <v>6.22286886</v>
      </c>
      <c r="N95" s="148">
        <f t="shared" si="70"/>
        <v>8.3197494279</v>
      </c>
      <c r="O95" s="148">
        <f t="shared" si="71"/>
        <v>9.01212</v>
      </c>
      <c r="P95" s="148">
        <f t="shared" si="72"/>
        <v>8.12893224</v>
      </c>
      <c r="Q95" s="148">
        <f t="shared" si="73"/>
        <v>8.77852838095632</v>
      </c>
      <c r="R95" s="148">
        <f t="shared" si="74"/>
        <v>95.8671035888563</v>
      </c>
      <c r="S95" s="155"/>
      <c r="T95" s="159" t="s">
        <v>182</v>
      </c>
      <c r="XDY95" s="21"/>
      <c r="XDZ95" s="21"/>
      <c r="XEA95" s="21"/>
      <c r="XEB95" s="21"/>
      <c r="XEC95" s="21"/>
      <c r="XED95" s="21"/>
      <c r="XEE95" s="21"/>
      <c r="XEF95" s="21"/>
      <c r="XEG95" s="21"/>
      <c r="XEH95" s="21"/>
      <c r="XEI95" s="21"/>
      <c r="XEJ95" s="21"/>
      <c r="XEK95" s="21"/>
      <c r="XEL95" s="21"/>
      <c r="XEM95" s="21"/>
      <c r="XEN95" s="21"/>
      <c r="XEO95" s="21"/>
      <c r="XEP95" s="21"/>
      <c r="XEQ95" s="21"/>
      <c r="XER95" s="21"/>
      <c r="XES95" s="21"/>
      <c r="XET95" s="21"/>
      <c r="XEU95" s="21"/>
      <c r="XEV95" s="21"/>
      <c r="XEW95" s="21"/>
      <c r="XEX95" s="21"/>
      <c r="XEY95" s="21"/>
      <c r="XEZ95" s="21"/>
      <c r="XFA95" s="21"/>
      <c r="XFB95" s="21"/>
      <c r="XFC95" s="21"/>
      <c r="XFD95" s="21"/>
    </row>
    <row r="96" s="19" customFormat="1" ht="15" customHeight="1" spans="1:16384">
      <c r="A96" s="171"/>
      <c r="B96" s="63"/>
      <c r="C96" s="63"/>
      <c r="D96" s="74"/>
      <c r="E96" s="195"/>
      <c r="F96" s="195"/>
      <c r="G96" s="195"/>
      <c r="H96" s="197">
        <v>37006</v>
      </c>
      <c r="I96" s="20">
        <f>293.56</f>
        <v>293.56</v>
      </c>
      <c r="J96" s="150">
        <f>292.345</f>
        <v>292.345</v>
      </c>
      <c r="K96" s="150">
        <f>6.081</f>
        <v>6.081</v>
      </c>
      <c r="L96" s="148">
        <f t="shared" si="68"/>
        <v>66.983788144</v>
      </c>
      <c r="M96" s="148">
        <f t="shared" si="69"/>
        <v>40.607818888</v>
      </c>
      <c r="N96" s="148">
        <f t="shared" si="70"/>
        <v>94.44297694932</v>
      </c>
      <c r="O96" s="148">
        <f t="shared" si="71"/>
        <v>58.712</v>
      </c>
      <c r="P96" s="148">
        <f t="shared" si="72"/>
        <v>53.045984992</v>
      </c>
      <c r="Q96" s="148">
        <f t="shared" si="73"/>
        <v>91.3024797525106</v>
      </c>
      <c r="R96" s="148">
        <f t="shared" si="74"/>
        <v>997.081048725831</v>
      </c>
      <c r="S96" s="155"/>
      <c r="T96" s="159" t="s">
        <v>183</v>
      </c>
      <c r="XDY96" s="21"/>
      <c r="XDZ96" s="21"/>
      <c r="XEA96" s="21"/>
      <c r="XEB96" s="21"/>
      <c r="XEC96" s="21"/>
      <c r="XED96" s="21"/>
      <c r="XEE96" s="21"/>
      <c r="XEF96" s="21"/>
      <c r="XEG96" s="21"/>
      <c r="XEH96" s="21"/>
      <c r="XEI96" s="21"/>
      <c r="XEJ96" s="21"/>
      <c r="XEK96" s="21"/>
      <c r="XEL96" s="21"/>
      <c r="XEM96" s="21"/>
      <c r="XEN96" s="21"/>
      <c r="XEO96" s="21"/>
      <c r="XEP96" s="21"/>
      <c r="XEQ96" s="21"/>
      <c r="XER96" s="21"/>
      <c r="XES96" s="21"/>
      <c r="XET96" s="21"/>
      <c r="XEU96" s="21"/>
      <c r="XEV96" s="21"/>
      <c r="XEW96" s="21"/>
      <c r="XEX96" s="21"/>
      <c r="XEY96" s="21"/>
      <c r="XEZ96" s="21"/>
      <c r="XFA96" s="21"/>
      <c r="XFB96" s="21"/>
      <c r="XFC96" s="21"/>
      <c r="XFD96" s="21"/>
    </row>
    <row r="97" s="19" customFormat="1" ht="15" customHeight="1" spans="1:16384">
      <c r="A97" s="172">
        <v>16</v>
      </c>
      <c r="B97" s="73" t="s">
        <v>184</v>
      </c>
      <c r="C97" s="73" t="s">
        <v>185</v>
      </c>
      <c r="D97" s="78" t="s">
        <v>27</v>
      </c>
      <c r="E97" s="196">
        <f>29.6+6.2</f>
        <v>35.8</v>
      </c>
      <c r="F97" s="196"/>
      <c r="G97" s="138"/>
      <c r="H97" s="112" t="s">
        <v>29</v>
      </c>
      <c r="I97" s="20">
        <f>11.1475</f>
        <v>11.1475</v>
      </c>
      <c r="J97" s="150">
        <v>5.3576</v>
      </c>
      <c r="K97" s="150">
        <v>1.5063</v>
      </c>
      <c r="L97" s="148">
        <f t="shared" si="68"/>
        <v>2.5668513112</v>
      </c>
      <c r="M97" s="148">
        <f t="shared" si="69"/>
        <v>1.5561113524</v>
      </c>
      <c r="N97" s="148">
        <f t="shared" si="70"/>
        <v>2.988138959586</v>
      </c>
      <c r="O97" s="148">
        <f t="shared" si="71"/>
        <v>2.2295</v>
      </c>
      <c r="P97" s="148">
        <f t="shared" si="72"/>
        <v>2.0327479216</v>
      </c>
      <c r="Q97" s="148">
        <f t="shared" si="73"/>
        <v>2.96198275411443</v>
      </c>
      <c r="R97" s="148">
        <f t="shared" si="74"/>
        <v>32.3467322989004</v>
      </c>
      <c r="S97" s="155">
        <f>R97+R98+R99</f>
        <v>184.314592185751</v>
      </c>
      <c r="T97" s="159" t="s">
        <v>30</v>
      </c>
      <c r="XDY97" s="21"/>
      <c r="XDZ97" s="21"/>
      <c r="XEA97" s="21"/>
      <c r="XEB97" s="21"/>
      <c r="XEC97" s="21"/>
      <c r="XED97" s="21"/>
      <c r="XEE97" s="21"/>
      <c r="XEF97" s="21"/>
      <c r="XEG97" s="21"/>
      <c r="XEH97" s="21"/>
      <c r="XEI97" s="21"/>
      <c r="XEJ97" s="21"/>
      <c r="XEK97" s="21"/>
      <c r="XEL97" s="21"/>
      <c r="XEM97" s="21"/>
      <c r="XEN97" s="21"/>
      <c r="XEO97" s="21"/>
      <c r="XEP97" s="21"/>
      <c r="XEQ97" s="21"/>
      <c r="XER97" s="21"/>
      <c r="XES97" s="21"/>
      <c r="XET97" s="21"/>
      <c r="XEU97" s="21"/>
      <c r="XEV97" s="21"/>
      <c r="XEW97" s="21"/>
      <c r="XEX97" s="21"/>
      <c r="XEY97" s="21"/>
      <c r="XEZ97" s="21"/>
      <c r="XFA97" s="21"/>
      <c r="XFB97" s="21"/>
      <c r="XFC97" s="21"/>
      <c r="XFD97" s="21"/>
    </row>
    <row r="98" s="19" customFormat="1" ht="15" customHeight="1" spans="1:16384">
      <c r="A98" s="172"/>
      <c r="B98" s="73"/>
      <c r="C98" s="73"/>
      <c r="D98" s="78"/>
      <c r="E98" s="196"/>
      <c r="F98" s="196"/>
      <c r="G98" s="138"/>
      <c r="H98" s="112" t="s">
        <v>186</v>
      </c>
      <c r="I98" s="20">
        <f>0.6033</f>
        <v>0.6033</v>
      </c>
      <c r="J98" s="150">
        <v>0.0011</v>
      </c>
      <c r="K98" s="150"/>
      <c r="L98" s="148">
        <f t="shared" si="68"/>
        <v>0.13743174</v>
      </c>
      <c r="M98" s="148">
        <f t="shared" si="69"/>
        <v>0.08331573</v>
      </c>
      <c r="N98" s="148">
        <f t="shared" si="70"/>
        <v>0.11139490845</v>
      </c>
      <c r="O98" s="148">
        <f t="shared" si="71"/>
        <v>0.12066</v>
      </c>
      <c r="P98" s="148">
        <f t="shared" si="72"/>
        <v>0.10883532</v>
      </c>
      <c r="Q98" s="148">
        <f t="shared" si="73"/>
        <v>0.11753660000376</v>
      </c>
      <c r="R98" s="148">
        <f t="shared" si="74"/>
        <v>1.28357429845376</v>
      </c>
      <c r="S98" s="155"/>
      <c r="T98" s="159" t="s">
        <v>182</v>
      </c>
      <c r="XDY98" s="21"/>
      <c r="XDZ98" s="21"/>
      <c r="XEA98" s="21"/>
      <c r="XEB98" s="21"/>
      <c r="XEC98" s="21"/>
      <c r="XED98" s="21"/>
      <c r="XEE98" s="21"/>
      <c r="XEF98" s="21"/>
      <c r="XEG98" s="21"/>
      <c r="XEH98" s="21"/>
      <c r="XEI98" s="21"/>
      <c r="XEJ98" s="21"/>
      <c r="XEK98" s="21"/>
      <c r="XEL98" s="21"/>
      <c r="XEM98" s="21"/>
      <c r="XEN98" s="21"/>
      <c r="XEO98" s="21"/>
      <c r="XEP98" s="21"/>
      <c r="XEQ98" s="21"/>
      <c r="XER98" s="21"/>
      <c r="XES98" s="21"/>
      <c r="XET98" s="21"/>
      <c r="XEU98" s="21"/>
      <c r="XEV98" s="21"/>
      <c r="XEW98" s="21"/>
      <c r="XEX98" s="21"/>
      <c r="XEY98" s="21"/>
      <c r="XEZ98" s="21"/>
      <c r="XFA98" s="21"/>
      <c r="XFB98" s="21"/>
      <c r="XFC98" s="21"/>
      <c r="XFD98" s="21"/>
    </row>
    <row r="99" s="19" customFormat="1" ht="15" customHeight="1" spans="1:16384">
      <c r="A99" s="172"/>
      <c r="B99" s="73"/>
      <c r="C99" s="73"/>
      <c r="D99" s="78"/>
      <c r="E99" s="196"/>
      <c r="F99" s="196"/>
      <c r="G99" s="138"/>
      <c r="H99" s="198">
        <v>37156</v>
      </c>
      <c r="I99" s="20">
        <v>17.271</v>
      </c>
      <c r="J99" s="150">
        <v>76.6126</v>
      </c>
      <c r="K99" s="150">
        <v>14.0242</v>
      </c>
      <c r="L99" s="148">
        <f t="shared" si="68"/>
        <v>4.1899108208</v>
      </c>
      <c r="M99" s="148">
        <f t="shared" si="69"/>
        <v>2.5400644616</v>
      </c>
      <c r="N99" s="148">
        <f t="shared" si="70"/>
        <v>15.476099663124</v>
      </c>
      <c r="O99" s="148">
        <f t="shared" si="71"/>
        <v>3.4542</v>
      </c>
      <c r="P99" s="148">
        <f t="shared" si="72"/>
        <v>3.3180856544</v>
      </c>
      <c r="Q99" s="148">
        <f t="shared" si="73"/>
        <v>13.7981249884723</v>
      </c>
      <c r="R99" s="148">
        <f t="shared" si="74"/>
        <v>150.684285588396</v>
      </c>
      <c r="S99" s="155"/>
      <c r="T99" s="159" t="s">
        <v>187</v>
      </c>
      <c r="XDY99" s="21"/>
      <c r="XDZ99" s="21"/>
      <c r="XEA99" s="21"/>
      <c r="XEB99" s="21"/>
      <c r="XEC99" s="21"/>
      <c r="XED99" s="21"/>
      <c r="XEE99" s="21"/>
      <c r="XEF99" s="21"/>
      <c r="XEG99" s="21"/>
      <c r="XEH99" s="21"/>
      <c r="XEI99" s="21"/>
      <c r="XEJ99" s="21"/>
      <c r="XEK99" s="21"/>
      <c r="XEL99" s="21"/>
      <c r="XEM99" s="21"/>
      <c r="XEN99" s="21"/>
      <c r="XEO99" s="21"/>
      <c r="XEP99" s="21"/>
      <c r="XEQ99" s="21"/>
      <c r="XER99" s="21"/>
      <c r="XES99" s="21"/>
      <c r="XET99" s="21"/>
      <c r="XEU99" s="21"/>
      <c r="XEV99" s="21"/>
      <c r="XEW99" s="21"/>
      <c r="XEX99" s="21"/>
      <c r="XEY99" s="21"/>
      <c r="XEZ99" s="21"/>
      <c r="XFA99" s="21"/>
      <c r="XFB99" s="21"/>
      <c r="XFC99" s="21"/>
      <c r="XFD99" s="21"/>
    </row>
    <row r="100" s="19" customFormat="1" ht="15" customHeight="1" spans="1:16384">
      <c r="A100" s="170">
        <v>17</v>
      </c>
      <c r="B100" s="62" t="s">
        <v>188</v>
      </c>
      <c r="C100" s="62" t="s">
        <v>189</v>
      </c>
      <c r="D100" s="68" t="s">
        <v>27</v>
      </c>
      <c r="E100" s="194">
        <f>(1.92*2+2.8*2+2.5*3+5.1+2+2.8)*2.8*2</f>
        <v>150.304</v>
      </c>
      <c r="F100" s="194"/>
      <c r="G100" s="138"/>
      <c r="H100" s="112" t="s">
        <v>29</v>
      </c>
      <c r="I100" s="20">
        <f>11.1475</f>
        <v>11.1475</v>
      </c>
      <c r="J100" s="150">
        <v>5.3576</v>
      </c>
      <c r="K100" s="150">
        <v>1.5063</v>
      </c>
      <c r="L100" s="148">
        <f t="shared" si="68"/>
        <v>2.5668513112</v>
      </c>
      <c r="M100" s="148">
        <f t="shared" si="69"/>
        <v>1.5561113524</v>
      </c>
      <c r="N100" s="148">
        <f t="shared" si="70"/>
        <v>2.988138959586</v>
      </c>
      <c r="O100" s="148">
        <f t="shared" si="71"/>
        <v>2.2295</v>
      </c>
      <c r="P100" s="148">
        <f t="shared" si="72"/>
        <v>2.0327479216</v>
      </c>
      <c r="Q100" s="148">
        <f t="shared" si="73"/>
        <v>2.96198275411443</v>
      </c>
      <c r="R100" s="148">
        <f t="shared" si="74"/>
        <v>32.3467322989004</v>
      </c>
      <c r="S100" s="155">
        <f>R100+R101+R102</f>
        <v>235.213457681074</v>
      </c>
      <c r="T100" s="159" t="s">
        <v>30</v>
      </c>
      <c r="XDY100" s="21"/>
      <c r="XDZ100" s="21"/>
      <c r="XEA100" s="21"/>
      <c r="XEB100" s="21"/>
      <c r="XEC100" s="21"/>
      <c r="XED100" s="21"/>
      <c r="XEE100" s="21"/>
      <c r="XEF100" s="21"/>
      <c r="XEG100" s="21"/>
      <c r="XEH100" s="21"/>
      <c r="XEI100" s="21"/>
      <c r="XEJ100" s="21"/>
      <c r="XEK100" s="21"/>
      <c r="XEL100" s="21"/>
      <c r="XEM100" s="21"/>
      <c r="XEN100" s="21"/>
      <c r="XEO100" s="21"/>
      <c r="XEP100" s="21"/>
      <c r="XEQ100" s="21"/>
      <c r="XER100" s="21"/>
      <c r="XES100" s="21"/>
      <c r="XET100" s="21"/>
      <c r="XEU100" s="21"/>
      <c r="XEV100" s="21"/>
      <c r="XEW100" s="21"/>
      <c r="XEX100" s="21"/>
      <c r="XEY100" s="21"/>
      <c r="XEZ100" s="21"/>
      <c r="XFA100" s="21"/>
      <c r="XFB100" s="21"/>
      <c r="XFC100" s="21"/>
      <c r="XFD100" s="21"/>
    </row>
    <row r="101" s="19" customFormat="1" ht="15" customHeight="1" spans="1:16384">
      <c r="A101" s="172"/>
      <c r="B101" s="73"/>
      <c r="C101" s="73"/>
      <c r="D101" s="78"/>
      <c r="E101" s="196"/>
      <c r="F101" s="196"/>
      <c r="G101" s="138"/>
      <c r="H101" s="112" t="s">
        <v>190</v>
      </c>
      <c r="I101" s="20">
        <f>42.59/4</f>
        <v>10.6475</v>
      </c>
      <c r="J101" s="150">
        <f>0.08/4</f>
        <v>0.02</v>
      </c>
      <c r="K101" s="150"/>
      <c r="L101" s="148">
        <f t="shared" si="68"/>
        <v>2.4255005</v>
      </c>
      <c r="M101" s="148">
        <f t="shared" si="69"/>
        <v>1.47041975</v>
      </c>
      <c r="N101" s="148">
        <f t="shared" si="70"/>
        <v>1.96606173375</v>
      </c>
      <c r="O101" s="148">
        <f t="shared" si="71"/>
        <v>2.1295</v>
      </c>
      <c r="P101" s="148">
        <f t="shared" si="72"/>
        <v>1.920809</v>
      </c>
      <c r="Q101" s="148">
        <f t="shared" si="73"/>
        <v>2.074442931162</v>
      </c>
      <c r="R101" s="148">
        <f t="shared" si="74"/>
        <v>22.654233914912</v>
      </c>
      <c r="S101" s="155"/>
      <c r="T101" s="159" t="s">
        <v>182</v>
      </c>
      <c r="XDY101" s="21"/>
      <c r="XDZ101" s="21"/>
      <c r="XEA101" s="21"/>
      <c r="XEB101" s="21"/>
      <c r="XEC101" s="21"/>
      <c r="XED101" s="21"/>
      <c r="XEE101" s="21"/>
      <c r="XEF101" s="21"/>
      <c r="XEG101" s="21"/>
      <c r="XEH101" s="21"/>
      <c r="XEI101" s="21"/>
      <c r="XEJ101" s="21"/>
      <c r="XEK101" s="21"/>
      <c r="XEL101" s="21"/>
      <c r="XEM101" s="21"/>
      <c r="XEN101" s="21"/>
      <c r="XEO101" s="21"/>
      <c r="XEP101" s="21"/>
      <c r="XEQ101" s="21"/>
      <c r="XER101" s="21"/>
      <c r="XES101" s="21"/>
      <c r="XET101" s="21"/>
      <c r="XEU101" s="21"/>
      <c r="XEV101" s="21"/>
      <c r="XEW101" s="21"/>
      <c r="XEX101" s="21"/>
      <c r="XEY101" s="21"/>
      <c r="XEZ101" s="21"/>
      <c r="XFA101" s="21"/>
      <c r="XFB101" s="21"/>
      <c r="XFC101" s="21"/>
      <c r="XFD101" s="21"/>
    </row>
    <row r="102" s="19" customFormat="1" ht="30" customHeight="1" spans="1:16384">
      <c r="A102" s="171"/>
      <c r="B102" s="63"/>
      <c r="C102" s="63"/>
      <c r="D102" s="74"/>
      <c r="E102" s="195"/>
      <c r="F102" s="195"/>
      <c r="G102" s="138"/>
      <c r="H102" s="199">
        <v>37226</v>
      </c>
      <c r="I102" s="20">
        <f>78.9741</f>
        <v>78.9741</v>
      </c>
      <c r="J102" s="150">
        <f>8.7828</f>
        <v>8.7828</v>
      </c>
      <c r="K102" s="150">
        <v>1.0713</v>
      </c>
      <c r="L102" s="148">
        <f t="shared" si="68"/>
        <v>18.0098233512</v>
      </c>
      <c r="M102" s="148">
        <f t="shared" si="69"/>
        <v>10.9181589324</v>
      </c>
      <c r="N102" s="148">
        <f t="shared" si="70"/>
        <v>15.897084608286</v>
      </c>
      <c r="O102" s="148">
        <f t="shared" si="71"/>
        <v>15.79482</v>
      </c>
      <c r="P102" s="148">
        <f t="shared" si="72"/>
        <v>14.2623886416</v>
      </c>
      <c r="Q102" s="148">
        <f t="shared" si="73"/>
        <v>16.5020159337754</v>
      </c>
      <c r="R102" s="148">
        <f t="shared" si="74"/>
        <v>180.212491467261</v>
      </c>
      <c r="S102" s="155"/>
      <c r="T102" s="19" t="s">
        <v>191</v>
      </c>
      <c r="XDY102" s="21"/>
      <c r="XDZ102" s="21"/>
      <c r="XEA102" s="21"/>
      <c r="XEB102" s="21"/>
      <c r="XEC102" s="21"/>
      <c r="XED102" s="21"/>
      <c r="XEE102" s="21"/>
      <c r="XEF102" s="21"/>
      <c r="XEG102" s="21"/>
      <c r="XEH102" s="21"/>
      <c r="XEI102" s="21"/>
      <c r="XEJ102" s="21"/>
      <c r="XEK102" s="21"/>
      <c r="XEL102" s="21"/>
      <c r="XEM102" s="21"/>
      <c r="XEN102" s="21"/>
      <c r="XEO102" s="21"/>
      <c r="XEP102" s="21"/>
      <c r="XEQ102" s="21"/>
      <c r="XER102" s="21"/>
      <c r="XES102" s="21"/>
      <c r="XET102" s="21"/>
      <c r="XEU102" s="21"/>
      <c r="XEV102" s="21"/>
      <c r="XEW102" s="21"/>
      <c r="XEX102" s="21"/>
      <c r="XEY102" s="21"/>
      <c r="XEZ102" s="21"/>
      <c r="XFA102" s="21"/>
      <c r="XFB102" s="21"/>
      <c r="XFC102" s="21"/>
      <c r="XFD102" s="21"/>
    </row>
    <row r="103" s="19" customFormat="1" ht="30" customHeight="1" spans="1:16384">
      <c r="A103" s="57" t="s">
        <v>192</v>
      </c>
      <c r="B103" s="55" t="s">
        <v>193</v>
      </c>
      <c r="C103" s="56" t="s">
        <v>50</v>
      </c>
      <c r="D103" s="57" t="s">
        <v>24</v>
      </c>
      <c r="E103" s="121"/>
      <c r="F103" s="54"/>
      <c r="G103" s="109"/>
      <c r="H103" s="112"/>
      <c r="I103" s="20"/>
      <c r="J103" s="155"/>
      <c r="K103" s="150"/>
      <c r="L103" s="148"/>
      <c r="M103" s="148"/>
      <c r="N103" s="148"/>
      <c r="O103" s="148"/>
      <c r="P103" s="148"/>
      <c r="Q103" s="148"/>
      <c r="R103" s="148"/>
      <c r="S103" s="148"/>
      <c r="T103" s="159"/>
      <c r="XDY103" s="21"/>
      <c r="XDZ103" s="21"/>
      <c r="XEA103" s="21"/>
      <c r="XEB103" s="21"/>
      <c r="XEC103" s="21"/>
      <c r="XED103" s="21"/>
      <c r="XEE103" s="21"/>
      <c r="XEF103" s="21"/>
      <c r="XEG103" s="21"/>
      <c r="XEH103" s="21"/>
      <c r="XEI103" s="21"/>
      <c r="XEJ103" s="21"/>
      <c r="XEK103" s="21"/>
      <c r="XEL103" s="21"/>
      <c r="XEM103" s="21"/>
      <c r="XEN103" s="21"/>
      <c r="XEO103" s="21"/>
      <c r="XEP103" s="21"/>
      <c r="XEQ103" s="21"/>
      <c r="XER103" s="21"/>
      <c r="XES103" s="21"/>
      <c r="XET103" s="21"/>
      <c r="XEU103" s="21"/>
      <c r="XEV103" s="21"/>
      <c r="XEW103" s="21"/>
      <c r="XEX103" s="21"/>
      <c r="XEY103" s="21"/>
      <c r="XEZ103" s="21"/>
      <c r="XFA103" s="21"/>
      <c r="XFB103" s="21"/>
      <c r="XFC103" s="21"/>
      <c r="XFD103" s="21"/>
    </row>
    <row r="104" s="19" customFormat="1" ht="15" customHeight="1" spans="1:16384">
      <c r="A104" s="51">
        <v>1</v>
      </c>
      <c r="B104" s="100" t="s">
        <v>194</v>
      </c>
      <c r="C104" s="73" t="s">
        <v>195</v>
      </c>
      <c r="D104" s="84" t="s">
        <v>42</v>
      </c>
      <c r="E104" s="123">
        <f>5.5*3*2</f>
        <v>33</v>
      </c>
      <c r="F104" s="114"/>
      <c r="G104" s="130"/>
      <c r="H104" s="200">
        <v>36914</v>
      </c>
      <c r="I104" s="207">
        <f>0.2136</f>
        <v>0.2136</v>
      </c>
      <c r="J104" s="150"/>
      <c r="K104" s="150">
        <v>3.4527</v>
      </c>
      <c r="L104" s="148">
        <f t="shared" ref="L104:L107" si="76">(I104+K104*8%)*22.78%</f>
        <v>0.1115800848</v>
      </c>
      <c r="M104" s="148">
        <f t="shared" ref="M104:M107" si="77">(I104+K104*8%)*13.81%</f>
        <v>0.0676435896</v>
      </c>
      <c r="N104" s="148">
        <f t="shared" ref="N104:N106" si="78">(I104+J104+K104+L104+M104)*13.5%</f>
        <v>0.519145696044</v>
      </c>
      <c r="O104" s="148">
        <f t="shared" ref="O104:O107" si="79">I104*20%</f>
        <v>0.04272</v>
      </c>
      <c r="P104" s="148">
        <f t="shared" ref="P104:P107" si="80">(I104+K104*8%)*18.04%</f>
        <v>0.0883628064</v>
      </c>
      <c r="Q104" s="148">
        <f t="shared" ref="Q104:Q107" si="81">(I104+J104+K104+L104+M104+N104+O104+P104)*9%*(1+12%)</f>
        <v>0.453171819425875</v>
      </c>
      <c r="R104" s="148">
        <f t="shared" ref="R104:R107" si="82">I104+J104+K104+L104+M104+N104+O104+P104+Q104</f>
        <v>4.94892399626988</v>
      </c>
      <c r="S104" s="21">
        <f>R104+R105+R106</f>
        <v>156.420416794438</v>
      </c>
      <c r="T104" s="19" t="s">
        <v>196</v>
      </c>
      <c r="XDY104" s="21"/>
      <c r="XDZ104" s="21"/>
      <c r="XEA104" s="21"/>
      <c r="XEB104" s="21"/>
      <c r="XEC104" s="21"/>
      <c r="XED104" s="21"/>
      <c r="XEE104" s="21"/>
      <c r="XEF104" s="21"/>
      <c r="XEG104" s="21"/>
      <c r="XEH104" s="21"/>
      <c r="XEI104" s="21"/>
      <c r="XEJ104" s="21"/>
      <c r="XEK104" s="21"/>
      <c r="XEL104" s="21"/>
      <c r="XEM104" s="21"/>
      <c r="XEN104" s="21"/>
      <c r="XEO104" s="21"/>
      <c r="XEP104" s="21"/>
      <c r="XEQ104" s="21"/>
      <c r="XER104" s="21"/>
      <c r="XES104" s="21"/>
      <c r="XET104" s="21"/>
      <c r="XEU104" s="21"/>
      <c r="XEV104" s="21"/>
      <c r="XEW104" s="21"/>
      <c r="XEX104" s="21"/>
      <c r="XEY104" s="21"/>
      <c r="XEZ104" s="21"/>
      <c r="XFA104" s="21"/>
      <c r="XFB104" s="21"/>
      <c r="XFC104" s="21"/>
      <c r="XFD104" s="21"/>
    </row>
    <row r="105" s="19" customFormat="1" ht="15" customHeight="1" spans="1:16384">
      <c r="A105" s="51"/>
      <c r="B105" s="100"/>
      <c r="C105" s="73"/>
      <c r="D105" s="84"/>
      <c r="E105" s="123"/>
      <c r="F105" s="114"/>
      <c r="G105" s="130"/>
      <c r="H105" s="112" t="s">
        <v>197</v>
      </c>
      <c r="I105" s="20"/>
      <c r="J105" s="150"/>
      <c r="K105" s="150">
        <v>36.2404</v>
      </c>
      <c r="L105" s="148">
        <f t="shared" si="76"/>
        <v>0.6604450496</v>
      </c>
      <c r="M105" s="148">
        <f t="shared" si="77"/>
        <v>0.4003839392</v>
      </c>
      <c r="N105" s="148">
        <f t="shared" si="78"/>
        <v>5.035665913488</v>
      </c>
      <c r="O105" s="148">
        <f t="shared" si="79"/>
        <v>0</v>
      </c>
      <c r="P105" s="148">
        <f t="shared" si="80"/>
        <v>0.5230214528</v>
      </c>
      <c r="Q105" s="148">
        <f t="shared" si="81"/>
        <v>4.32027956859287</v>
      </c>
      <c r="R105" s="148">
        <f t="shared" si="82"/>
        <v>47.1801959236809</v>
      </c>
      <c r="S105" s="21"/>
      <c r="T105" s="19" t="s">
        <v>198</v>
      </c>
      <c r="XDY105" s="21"/>
      <c r="XDZ105" s="21"/>
      <c r="XEA105" s="21"/>
      <c r="XEB105" s="21"/>
      <c r="XEC105" s="21"/>
      <c r="XED105" s="21"/>
      <c r="XEE105" s="21"/>
      <c r="XEF105" s="21"/>
      <c r="XEG105" s="21"/>
      <c r="XEH105" s="21"/>
      <c r="XEI105" s="21"/>
      <c r="XEJ105" s="21"/>
      <c r="XEK105" s="21"/>
      <c r="XEL105" s="21"/>
      <c r="XEM105" s="21"/>
      <c r="XEN105" s="21"/>
      <c r="XEO105" s="21"/>
      <c r="XEP105" s="21"/>
      <c r="XEQ105" s="21"/>
      <c r="XER105" s="21"/>
      <c r="XES105" s="21"/>
      <c r="XET105" s="21"/>
      <c r="XEU105" s="21"/>
      <c r="XEV105" s="21"/>
      <c r="XEW105" s="21"/>
      <c r="XEX105" s="21"/>
      <c r="XEY105" s="21"/>
      <c r="XEZ105" s="21"/>
      <c r="XFA105" s="21"/>
      <c r="XFB105" s="21"/>
      <c r="XFC105" s="21"/>
      <c r="XFD105" s="21"/>
    </row>
    <row r="106" s="19" customFormat="1" ht="15" customHeight="1" spans="1:16384">
      <c r="A106" s="51"/>
      <c r="B106" s="102"/>
      <c r="C106" s="63"/>
      <c r="D106" s="85"/>
      <c r="E106" s="125"/>
      <c r="F106" s="132"/>
      <c r="G106" s="133"/>
      <c r="H106" s="112" t="s">
        <v>199</v>
      </c>
      <c r="I106" s="20"/>
      <c r="J106" s="150"/>
      <c r="K106" s="150">
        <f>3.105*25.8</f>
        <v>80.109</v>
      </c>
      <c r="L106" s="148">
        <f t="shared" si="76"/>
        <v>1.459906416</v>
      </c>
      <c r="M106" s="148">
        <f t="shared" si="77"/>
        <v>0.885044232</v>
      </c>
      <c r="N106" s="148">
        <f t="shared" si="78"/>
        <v>11.13128333748</v>
      </c>
      <c r="O106" s="148">
        <f t="shared" si="79"/>
        <v>0</v>
      </c>
      <c r="P106" s="148">
        <f t="shared" si="80"/>
        <v>1.156133088</v>
      </c>
      <c r="Q106" s="148">
        <f t="shared" si="81"/>
        <v>9.54992980100678</v>
      </c>
      <c r="R106" s="148">
        <f t="shared" si="82"/>
        <v>104.291296874487</v>
      </c>
      <c r="S106" s="21"/>
      <c r="T106" s="20"/>
      <c r="U106" s="20"/>
      <c r="XDY106" s="21"/>
      <c r="XDZ106" s="21"/>
      <c r="XEA106" s="21"/>
      <c r="XEB106" s="21"/>
      <c r="XEC106" s="21"/>
      <c r="XED106" s="21"/>
      <c r="XEE106" s="21"/>
      <c r="XEF106" s="21"/>
      <c r="XEG106" s="21"/>
      <c r="XEH106" s="21"/>
      <c r="XEI106" s="21"/>
      <c r="XEJ106" s="21"/>
      <c r="XEK106" s="21"/>
      <c r="XEL106" s="21"/>
      <c r="XEM106" s="21"/>
      <c r="XEN106" s="21"/>
      <c r="XEO106" s="21"/>
      <c r="XEP106" s="21"/>
      <c r="XEQ106" s="21"/>
      <c r="XER106" s="21"/>
      <c r="XES106" s="21"/>
      <c r="XET106" s="21"/>
      <c r="XEU106" s="21"/>
      <c r="XEV106" s="21"/>
      <c r="XEW106" s="21"/>
      <c r="XEX106" s="21"/>
      <c r="XEY106" s="21"/>
      <c r="XEZ106" s="21"/>
      <c r="XFA106" s="21"/>
      <c r="XFB106" s="21"/>
      <c r="XFC106" s="21"/>
      <c r="XFD106" s="21"/>
    </row>
    <row r="107" s="19" customFormat="1" ht="22.5" customHeight="1" spans="1:16384">
      <c r="A107" s="35">
        <v>2</v>
      </c>
      <c r="B107" s="173" t="s">
        <v>200</v>
      </c>
      <c r="C107" s="174" t="s">
        <v>201</v>
      </c>
      <c r="D107" s="68" t="s">
        <v>42</v>
      </c>
      <c r="E107" s="196">
        <f>5.5*3*0.15</f>
        <v>2.475</v>
      </c>
      <c r="F107" s="201"/>
      <c r="G107" s="201"/>
      <c r="H107" s="112" t="s">
        <v>202</v>
      </c>
      <c r="I107" s="161">
        <f>290.48*110%</f>
        <v>319.528</v>
      </c>
      <c r="J107" s="148">
        <v>0.95</v>
      </c>
      <c r="K107" s="150"/>
      <c r="L107" s="148">
        <f t="shared" si="76"/>
        <v>72.7884784</v>
      </c>
      <c r="M107" s="148">
        <f t="shared" si="77"/>
        <v>44.1268168</v>
      </c>
      <c r="N107" s="148">
        <f t="shared" ref="N107:N112" si="83">(I107+J107+K107+L107+M107)*3.5%</f>
        <v>15.308765332</v>
      </c>
      <c r="O107" s="148">
        <f t="shared" si="79"/>
        <v>63.9056</v>
      </c>
      <c r="P107" s="148">
        <f t="shared" si="80"/>
        <v>57.6428512</v>
      </c>
      <c r="Q107" s="148">
        <f t="shared" si="81"/>
        <v>57.8844515825856</v>
      </c>
      <c r="R107" s="148">
        <f t="shared" si="82"/>
        <v>632.134963314586</v>
      </c>
      <c r="S107" s="21">
        <f t="shared" ref="S107:S111" si="84">R107+R108</f>
        <v>832.134963314586</v>
      </c>
      <c r="XDY107" s="21"/>
      <c r="XDZ107" s="21"/>
      <c r="XEA107" s="21"/>
      <c r="XEB107" s="21"/>
      <c r="XEC107" s="21"/>
      <c r="XED107" s="21"/>
      <c r="XEE107" s="21"/>
      <c r="XEF107" s="21"/>
      <c r="XEG107" s="21"/>
      <c r="XEH107" s="21"/>
      <c r="XEI107" s="21"/>
      <c r="XEJ107" s="21"/>
      <c r="XEK107" s="21"/>
      <c r="XEL107" s="21"/>
      <c r="XEM107" s="21"/>
      <c r="XEN107" s="21"/>
      <c r="XEO107" s="21"/>
      <c r="XEP107" s="21"/>
      <c r="XEQ107" s="21"/>
      <c r="XER107" s="21"/>
      <c r="XES107" s="21"/>
      <c r="XET107" s="21"/>
      <c r="XEU107" s="21"/>
      <c r="XEV107" s="21"/>
      <c r="XEW107" s="21"/>
      <c r="XEX107" s="21"/>
      <c r="XEY107" s="21"/>
      <c r="XEZ107" s="21"/>
      <c r="XFA107" s="21"/>
      <c r="XFB107" s="21"/>
      <c r="XFC107" s="21"/>
      <c r="XFD107" s="21"/>
    </row>
    <row r="108" s="19" customFormat="1" ht="22.5" customHeight="1" spans="1:16384">
      <c r="A108" s="35"/>
      <c r="B108" s="175"/>
      <c r="C108" s="176"/>
      <c r="D108" s="74"/>
      <c r="E108" s="195"/>
      <c r="F108" s="133"/>
      <c r="G108" s="133"/>
      <c r="H108" s="112" t="s">
        <v>31</v>
      </c>
      <c r="I108" s="20"/>
      <c r="J108" s="150"/>
      <c r="K108" s="150"/>
      <c r="L108" s="148"/>
      <c r="M108" s="148"/>
      <c r="N108" s="148"/>
      <c r="O108" s="148"/>
      <c r="P108" s="148"/>
      <c r="Q108" s="148"/>
      <c r="R108" s="148">
        <v>200</v>
      </c>
      <c r="S108" s="21"/>
      <c r="T108" s="19" t="s">
        <v>32</v>
      </c>
      <c r="XDY108" s="21"/>
      <c r="XDZ108" s="21"/>
      <c r="XEA108" s="21"/>
      <c r="XEB108" s="21"/>
      <c r="XEC108" s="21"/>
      <c r="XED108" s="21"/>
      <c r="XEE108" s="21"/>
      <c r="XEF108" s="21"/>
      <c r="XEG108" s="21"/>
      <c r="XEH108" s="21"/>
      <c r="XEI108" s="21"/>
      <c r="XEJ108" s="21"/>
      <c r="XEK108" s="21"/>
      <c r="XEL108" s="21"/>
      <c r="XEM108" s="21"/>
      <c r="XEN108" s="21"/>
      <c r="XEO108" s="21"/>
      <c r="XEP108" s="21"/>
      <c r="XEQ108" s="21"/>
      <c r="XER108" s="21"/>
      <c r="XES108" s="21"/>
      <c r="XET108" s="21"/>
      <c r="XEU108" s="21"/>
      <c r="XEV108" s="21"/>
      <c r="XEW108" s="21"/>
      <c r="XEX108" s="21"/>
      <c r="XEY108" s="21"/>
      <c r="XEZ108" s="21"/>
      <c r="XFA108" s="21"/>
      <c r="XFB108" s="21"/>
      <c r="XFC108" s="21"/>
      <c r="XFD108" s="21"/>
    </row>
    <row r="109" s="20" customFormat="1" ht="22.5" customHeight="1" spans="1:19">
      <c r="A109" s="40">
        <v>3</v>
      </c>
      <c r="B109" s="100" t="s">
        <v>203</v>
      </c>
      <c r="C109" s="174" t="s">
        <v>204</v>
      </c>
      <c r="D109" s="42" t="s">
        <v>42</v>
      </c>
      <c r="E109" s="192">
        <f>5*3*0.5*3</f>
        <v>22.5</v>
      </c>
      <c r="F109" s="114"/>
      <c r="G109" s="114"/>
      <c r="H109" s="202" t="s">
        <v>205</v>
      </c>
      <c r="I109" s="154">
        <v>37.79</v>
      </c>
      <c r="J109" s="151">
        <v>0.08</v>
      </c>
      <c r="K109" s="151"/>
      <c r="L109" s="148">
        <f>(I109+K109*8%)*22.78%</f>
        <v>8.608562</v>
      </c>
      <c r="M109" s="148">
        <f>(I109+K109*8%)*13.81%</f>
        <v>5.218799</v>
      </c>
      <c r="N109" s="148">
        <f>(I109+J109+K109+L109+M109)*13.5%</f>
        <v>6.979143735</v>
      </c>
      <c r="O109" s="148">
        <f>I109*20%</f>
        <v>7.558</v>
      </c>
      <c r="P109" s="148">
        <f>(I109+K109*8%)*18.04%</f>
        <v>6.817316</v>
      </c>
      <c r="Q109" s="148">
        <f>(I109+J109+K109+L109+M109+N109+O109+P109)*9%*(1+12%)</f>
        <v>7.363623530088</v>
      </c>
      <c r="R109" s="148">
        <f>I109+J109+K109+L109+M109+N109+O109+P109+Q109</f>
        <v>80.415444265088</v>
      </c>
      <c r="S109" s="21">
        <f t="shared" si="84"/>
        <v>391.249327813441</v>
      </c>
    </row>
    <row r="110" s="20" customFormat="1" ht="22.5" customHeight="1" spans="1:20">
      <c r="A110" s="46"/>
      <c r="B110" s="102"/>
      <c r="C110" s="176"/>
      <c r="D110" s="64"/>
      <c r="E110" s="193"/>
      <c r="F110" s="132"/>
      <c r="G110" s="132"/>
      <c r="H110" s="203">
        <v>37198</v>
      </c>
      <c r="I110" s="154">
        <f>50.065</f>
        <v>50.065</v>
      </c>
      <c r="J110" s="151">
        <v>163.258</v>
      </c>
      <c r="K110" s="151">
        <v>0.349</v>
      </c>
      <c r="L110" s="148">
        <f>(I110+K110*8%)*22.78%</f>
        <v>11.411167176</v>
      </c>
      <c r="M110" s="148">
        <f>(I110+K110*8%)*13.81%</f>
        <v>6.917832252</v>
      </c>
      <c r="N110" s="148">
        <f>(I110+J110+K110+L110+M110)*13.5%</f>
        <v>31.32013492278</v>
      </c>
      <c r="O110" s="148">
        <f>I110*20%</f>
        <v>10.013</v>
      </c>
      <c r="P110" s="148">
        <f>(I110+K110*8%)*18.04%</f>
        <v>9.036762768</v>
      </c>
      <c r="Q110" s="148">
        <f>(I110+J110+K110+L110+M110+N110+O110+P110)*9%*(1+12%)</f>
        <v>28.462986429573</v>
      </c>
      <c r="R110" s="148">
        <f>I110+J110+K110+L110+M110+N110+O110+P110+Q110</f>
        <v>310.833883548353</v>
      </c>
      <c r="S110" s="21"/>
      <c r="T110" s="20" t="s">
        <v>206</v>
      </c>
    </row>
    <row r="111" s="19" customFormat="1" ht="22.5" customHeight="1" spans="1:16384">
      <c r="A111" s="51">
        <v>5</v>
      </c>
      <c r="B111" s="52" t="s">
        <v>40</v>
      </c>
      <c r="C111" s="36" t="s">
        <v>41</v>
      </c>
      <c r="D111" s="50" t="s">
        <v>42</v>
      </c>
      <c r="E111" s="117">
        <f>E107</f>
        <v>2.475</v>
      </c>
      <c r="F111" s="106"/>
      <c r="G111" s="106"/>
      <c r="H111" s="118">
        <v>37012</v>
      </c>
      <c r="I111" s="19">
        <f>57.174</f>
        <v>57.174</v>
      </c>
      <c r="J111" s="148">
        <v>351.478</v>
      </c>
      <c r="K111" s="150"/>
      <c r="L111" s="148">
        <f t="shared" ref="L111:L116" si="85">(I111+K111*8%)*22.78%</f>
        <v>13.0242372</v>
      </c>
      <c r="M111" s="148">
        <f t="shared" ref="M111:M116" si="86">(I111+K111*8%)*13.81%</f>
        <v>7.8957294</v>
      </c>
      <c r="N111" s="148">
        <f t="shared" si="83"/>
        <v>15.035018831</v>
      </c>
      <c r="O111" s="148">
        <f t="shared" ref="O111:O116" si="87">I111*20%</f>
        <v>11.4348</v>
      </c>
      <c r="P111" s="148">
        <f t="shared" ref="P111:P116" si="88">(I111+K111*8%)*18.04%</f>
        <v>10.3141896</v>
      </c>
      <c r="Q111" s="148">
        <f t="shared" ref="Q111:Q116" si="89">(I111+J111+K111+L111+M111+N111+O111+P111)*9%*(1+12%)</f>
        <v>47.0086822831248</v>
      </c>
      <c r="R111" s="148">
        <f t="shared" ref="R111:R116" si="90">I111+J111+K111+L111+M111+N111+O111+P111+Q111</f>
        <v>513.364657314125</v>
      </c>
      <c r="S111" s="21">
        <f t="shared" si="84"/>
        <v>731.657036379975</v>
      </c>
      <c r="XDY111" s="21"/>
      <c r="XDZ111" s="21"/>
      <c r="XEA111" s="21"/>
      <c r="XEB111" s="21"/>
      <c r="XEC111" s="21"/>
      <c r="XED111" s="21"/>
      <c r="XEE111" s="21"/>
      <c r="XEF111" s="21"/>
      <c r="XEG111" s="21"/>
      <c r="XEH111" s="21"/>
      <c r="XEI111" s="21"/>
      <c r="XEJ111" s="21"/>
      <c r="XEK111" s="21"/>
      <c r="XEL111" s="21"/>
      <c r="XEM111" s="21"/>
      <c r="XEN111" s="21"/>
      <c r="XEO111" s="21"/>
      <c r="XEP111" s="21"/>
      <c r="XEQ111" s="21"/>
      <c r="XER111" s="21"/>
      <c r="XES111" s="21"/>
      <c r="XET111" s="21"/>
      <c r="XEU111" s="21"/>
      <c r="XEV111" s="21"/>
      <c r="XEW111" s="21"/>
      <c r="XEX111" s="21"/>
      <c r="XEY111" s="21"/>
      <c r="XEZ111" s="21"/>
      <c r="XFA111" s="21"/>
      <c r="XFB111" s="21"/>
      <c r="XFC111" s="21"/>
      <c r="XFD111" s="21"/>
    </row>
    <row r="112" s="19" customFormat="1" ht="22.5" customHeight="1" spans="1:16384">
      <c r="A112" s="51"/>
      <c r="B112" s="52"/>
      <c r="C112" s="36"/>
      <c r="D112" s="50"/>
      <c r="E112" s="117"/>
      <c r="F112" s="106"/>
      <c r="G112" s="106"/>
      <c r="H112" s="75" t="s">
        <v>43</v>
      </c>
      <c r="I112" s="19">
        <v>104.463</v>
      </c>
      <c r="J112" s="148">
        <v>1.235</v>
      </c>
      <c r="K112" s="150">
        <v>8.898</v>
      </c>
      <c r="L112" s="148">
        <f t="shared" si="85"/>
        <v>23.958828552</v>
      </c>
      <c r="M112" s="148">
        <f t="shared" si="86"/>
        <v>14.524645404</v>
      </c>
      <c r="N112" s="148">
        <f t="shared" si="83"/>
        <v>5.35778158846</v>
      </c>
      <c r="O112" s="148">
        <f t="shared" si="87"/>
        <v>20.8926</v>
      </c>
      <c r="P112" s="148">
        <f t="shared" si="88"/>
        <v>18.973541136</v>
      </c>
      <c r="Q112" s="148">
        <f t="shared" si="89"/>
        <v>19.9889823853904</v>
      </c>
      <c r="R112" s="148">
        <f t="shared" si="90"/>
        <v>218.29237906585</v>
      </c>
      <c r="S112" s="21"/>
      <c r="T112" s="19" t="s">
        <v>44</v>
      </c>
      <c r="XDY112" s="21"/>
      <c r="XDZ112" s="21"/>
      <c r="XEA112" s="21"/>
      <c r="XEB112" s="21"/>
      <c r="XEC112" s="21"/>
      <c r="XED112" s="21"/>
      <c r="XEE112" s="21"/>
      <c r="XEF112" s="21"/>
      <c r="XEG112" s="21"/>
      <c r="XEH112" s="21"/>
      <c r="XEI112" s="21"/>
      <c r="XEJ112" s="21"/>
      <c r="XEK112" s="21"/>
      <c r="XEL112" s="21"/>
      <c r="XEM112" s="21"/>
      <c r="XEN112" s="21"/>
      <c r="XEO112" s="21"/>
      <c r="XEP112" s="21"/>
      <c r="XEQ112" s="21"/>
      <c r="XER112" s="21"/>
      <c r="XES112" s="21"/>
      <c r="XET112" s="21"/>
      <c r="XEU112" s="21"/>
      <c r="XEV112" s="21"/>
      <c r="XEW112" s="21"/>
      <c r="XEX112" s="21"/>
      <c r="XEY112" s="21"/>
      <c r="XEZ112" s="21"/>
      <c r="XFA112" s="21"/>
      <c r="XFB112" s="21"/>
      <c r="XFC112" s="21"/>
      <c r="XFD112" s="21"/>
    </row>
    <row r="113" s="19" customFormat="1" ht="45" customHeight="1" spans="1:16384">
      <c r="A113" s="51">
        <v>5</v>
      </c>
      <c r="B113" s="53" t="s">
        <v>207</v>
      </c>
      <c r="C113" s="53" t="s">
        <v>208</v>
      </c>
      <c r="D113" s="50" t="s">
        <v>75</v>
      </c>
      <c r="E113" s="138">
        <v>5</v>
      </c>
      <c r="F113" s="138"/>
      <c r="G113" s="138"/>
      <c r="H113" s="112" t="s">
        <v>209</v>
      </c>
      <c r="I113" s="20">
        <f>80</f>
        <v>80</v>
      </c>
      <c r="J113" s="150">
        <v>225.961</v>
      </c>
      <c r="K113" s="150">
        <v>0.796</v>
      </c>
      <c r="L113" s="148">
        <f t="shared" si="85"/>
        <v>18.238506304</v>
      </c>
      <c r="M113" s="148">
        <f t="shared" si="86"/>
        <v>11.056794208</v>
      </c>
      <c r="N113" s="148">
        <f t="shared" ref="N113:N116" si="91">(I113+J113+K113+L113+M113)*13.5%</f>
        <v>45.36706056912</v>
      </c>
      <c r="O113" s="148">
        <f t="shared" si="87"/>
        <v>16</v>
      </c>
      <c r="P113" s="148">
        <f t="shared" si="88"/>
        <v>14.443487872</v>
      </c>
      <c r="Q113" s="148">
        <f t="shared" si="89"/>
        <v>41.5157751744745</v>
      </c>
      <c r="R113" s="148">
        <f t="shared" si="90"/>
        <v>453.378624127594</v>
      </c>
      <c r="S113" s="155">
        <f t="shared" ref="S113:S116" si="92">R113</f>
        <v>453.378624127594</v>
      </c>
      <c r="T113" s="159"/>
      <c r="XDY113" s="21"/>
      <c r="XDZ113" s="21"/>
      <c r="XEA113" s="21"/>
      <c r="XEB113" s="21"/>
      <c r="XEC113" s="21"/>
      <c r="XED113" s="21"/>
      <c r="XEE113" s="21"/>
      <c r="XEF113" s="21"/>
      <c r="XEG113" s="21"/>
      <c r="XEH113" s="21"/>
      <c r="XEI113" s="21"/>
      <c r="XEJ113" s="21"/>
      <c r="XEK113" s="21"/>
      <c r="XEL113" s="21"/>
      <c r="XEM113" s="21"/>
      <c r="XEN113" s="21"/>
      <c r="XEO113" s="21"/>
      <c r="XEP113" s="21"/>
      <c r="XEQ113" s="21"/>
      <c r="XER113" s="21"/>
      <c r="XES113" s="21"/>
      <c r="XET113" s="21"/>
      <c r="XEU113" s="21"/>
      <c r="XEV113" s="21"/>
      <c r="XEW113" s="21"/>
      <c r="XEX113" s="21"/>
      <c r="XEY113" s="21"/>
      <c r="XEZ113" s="21"/>
      <c r="XFA113" s="21"/>
      <c r="XFB113" s="21"/>
      <c r="XFC113" s="21"/>
      <c r="XFD113" s="21"/>
    </row>
    <row r="114" s="19" customFormat="1" ht="32.5" customHeight="1" spans="1:16384">
      <c r="A114" s="51">
        <v>6</v>
      </c>
      <c r="B114" s="53" t="s">
        <v>210</v>
      </c>
      <c r="C114" s="53" t="s">
        <v>211</v>
      </c>
      <c r="D114" s="50" t="s">
        <v>212</v>
      </c>
      <c r="E114" s="138">
        <v>3</v>
      </c>
      <c r="F114" s="138"/>
      <c r="G114" s="138"/>
      <c r="H114" s="112" t="s">
        <v>213</v>
      </c>
      <c r="I114" s="20">
        <f>32.43</f>
        <v>32.43</v>
      </c>
      <c r="J114" s="150">
        <v>708.54</v>
      </c>
      <c r="K114" s="150"/>
      <c r="L114" s="148">
        <f t="shared" si="85"/>
        <v>7.387554</v>
      </c>
      <c r="M114" s="148">
        <f t="shared" si="86"/>
        <v>4.478583</v>
      </c>
      <c r="N114" s="148">
        <f t="shared" si="91"/>
        <v>101.632878495</v>
      </c>
      <c r="O114" s="148">
        <f t="shared" si="87"/>
        <v>6.486</v>
      </c>
      <c r="P114" s="148">
        <f t="shared" si="88"/>
        <v>5.850372</v>
      </c>
      <c r="Q114" s="148">
        <f t="shared" si="89"/>
        <v>87.373983059496</v>
      </c>
      <c r="R114" s="148">
        <f t="shared" si="90"/>
        <v>954.179370554496</v>
      </c>
      <c r="S114" s="148">
        <f t="shared" si="92"/>
        <v>954.179370554496</v>
      </c>
      <c r="T114" s="159"/>
      <c r="XDY114" s="21"/>
      <c r="XDZ114" s="21"/>
      <c r="XEA114" s="21"/>
      <c r="XEB114" s="21"/>
      <c r="XEC114" s="21"/>
      <c r="XED114" s="21"/>
      <c r="XEE114" s="21"/>
      <c r="XEF114" s="21"/>
      <c r="XEG114" s="21"/>
      <c r="XEH114" s="21"/>
      <c r="XEI114" s="21"/>
      <c r="XEJ114" s="21"/>
      <c r="XEK114" s="21"/>
      <c r="XEL114" s="21"/>
      <c r="XEM114" s="21"/>
      <c r="XEN114" s="21"/>
      <c r="XEO114" s="21"/>
      <c r="XEP114" s="21"/>
      <c r="XEQ114" s="21"/>
      <c r="XER114" s="21"/>
      <c r="XES114" s="21"/>
      <c r="XET114" s="21"/>
      <c r="XEU114" s="21"/>
      <c r="XEV114" s="21"/>
      <c r="XEW114" s="21"/>
      <c r="XEX114" s="21"/>
      <c r="XEY114" s="21"/>
      <c r="XEZ114" s="21"/>
      <c r="XFA114" s="21"/>
      <c r="XFB114" s="21"/>
      <c r="XFC114" s="21"/>
      <c r="XFD114" s="21"/>
    </row>
    <row r="115" s="19" customFormat="1" ht="45" customHeight="1" spans="1:16384">
      <c r="A115" s="51">
        <v>7</v>
      </c>
      <c r="B115" s="177" t="s">
        <v>214</v>
      </c>
      <c r="C115" s="178" t="s">
        <v>215</v>
      </c>
      <c r="D115" s="179" t="s">
        <v>216</v>
      </c>
      <c r="E115" s="204">
        <v>25</v>
      </c>
      <c r="F115" s="138"/>
      <c r="G115" s="138"/>
      <c r="H115" s="112" t="s">
        <v>217</v>
      </c>
      <c r="I115" s="20">
        <f>26.381</f>
        <v>26.381</v>
      </c>
      <c r="J115" s="150">
        <f>7.57+256</f>
        <v>263.57</v>
      </c>
      <c r="K115" s="150">
        <f>11.258</f>
        <v>11.258</v>
      </c>
      <c r="L115" s="148">
        <f t="shared" si="85"/>
        <v>6.214757592</v>
      </c>
      <c r="M115" s="148">
        <f t="shared" si="86"/>
        <v>3.767594484</v>
      </c>
      <c r="N115" s="148">
        <f t="shared" si="91"/>
        <v>42.01083253026</v>
      </c>
      <c r="O115" s="148">
        <f t="shared" si="87"/>
        <v>5.2762</v>
      </c>
      <c r="P115" s="148">
        <f t="shared" si="88"/>
        <v>4.921607856</v>
      </c>
      <c r="Q115" s="148">
        <f t="shared" si="89"/>
        <v>36.6307192401958</v>
      </c>
      <c r="R115" s="148">
        <f t="shared" si="90"/>
        <v>400.030711702456</v>
      </c>
      <c r="S115" s="148">
        <f t="shared" si="92"/>
        <v>400.030711702456</v>
      </c>
      <c r="T115" s="159"/>
      <c r="XDY115" s="21"/>
      <c r="XDZ115" s="21"/>
      <c r="XEA115" s="21"/>
      <c r="XEB115" s="21"/>
      <c r="XEC115" s="21"/>
      <c r="XED115" s="21"/>
      <c r="XEE115" s="21"/>
      <c r="XEF115" s="21"/>
      <c r="XEG115" s="21"/>
      <c r="XEH115" s="21"/>
      <c r="XEI115" s="21"/>
      <c r="XEJ115" s="21"/>
      <c r="XEK115" s="21"/>
      <c r="XEL115" s="21"/>
      <c r="XEM115" s="21"/>
      <c r="XEN115" s="21"/>
      <c r="XEO115" s="21"/>
      <c r="XEP115" s="21"/>
      <c r="XEQ115" s="21"/>
      <c r="XER115" s="21"/>
      <c r="XES115" s="21"/>
      <c r="XET115" s="21"/>
      <c r="XEU115" s="21"/>
      <c r="XEV115" s="21"/>
      <c r="XEW115" s="21"/>
      <c r="XEX115" s="21"/>
      <c r="XEY115" s="21"/>
      <c r="XEZ115" s="21"/>
      <c r="XFA115" s="21"/>
      <c r="XFB115" s="21"/>
      <c r="XFC115" s="21"/>
      <c r="XFD115" s="21"/>
    </row>
    <row r="116" s="19" customFormat="1" ht="55" customHeight="1" spans="1:16384">
      <c r="A116" s="51">
        <v>8</v>
      </c>
      <c r="B116" s="177" t="s">
        <v>218</v>
      </c>
      <c r="C116" s="178" t="s">
        <v>219</v>
      </c>
      <c r="D116" s="180" t="s">
        <v>212</v>
      </c>
      <c r="E116" s="155">
        <v>1</v>
      </c>
      <c r="F116" s="138"/>
      <c r="G116" s="138"/>
      <c r="H116" s="112" t="s">
        <v>220</v>
      </c>
      <c r="I116" s="20">
        <v>259.46</v>
      </c>
      <c r="J116" s="150">
        <v>3017.82</v>
      </c>
      <c r="K116" s="150">
        <v>225.54</v>
      </c>
      <c r="L116" s="148">
        <f t="shared" si="85"/>
        <v>63.21522896</v>
      </c>
      <c r="M116" s="148">
        <f t="shared" si="86"/>
        <v>38.32319192</v>
      </c>
      <c r="N116" s="148">
        <f t="shared" si="91"/>
        <v>486.5883868188</v>
      </c>
      <c r="O116" s="148">
        <f t="shared" si="87"/>
        <v>51.892</v>
      </c>
      <c r="P116" s="148">
        <f t="shared" si="88"/>
        <v>50.06157728</v>
      </c>
      <c r="Q116" s="148">
        <f t="shared" si="89"/>
        <v>422.644358805863</v>
      </c>
      <c r="R116" s="148">
        <f t="shared" si="90"/>
        <v>4615.54474378466</v>
      </c>
      <c r="S116" s="148">
        <f t="shared" si="92"/>
        <v>4615.54474378466</v>
      </c>
      <c r="T116" s="159"/>
      <c r="XDY116" s="21"/>
      <c r="XDZ116" s="21"/>
      <c r="XEA116" s="21"/>
      <c r="XEB116" s="21"/>
      <c r="XEC116" s="21"/>
      <c r="XED116" s="21"/>
      <c r="XEE116" s="21"/>
      <c r="XEF116" s="21"/>
      <c r="XEG116" s="21"/>
      <c r="XEH116" s="21"/>
      <c r="XEI116" s="21"/>
      <c r="XEJ116" s="21"/>
      <c r="XEK116" s="21"/>
      <c r="XEL116" s="21"/>
      <c r="XEM116" s="21"/>
      <c r="XEN116" s="21"/>
      <c r="XEO116" s="21"/>
      <c r="XEP116" s="21"/>
      <c r="XEQ116" s="21"/>
      <c r="XER116" s="21"/>
      <c r="XES116" s="21"/>
      <c r="XET116" s="21"/>
      <c r="XEU116" s="21"/>
      <c r="XEV116" s="21"/>
      <c r="XEW116" s="21"/>
      <c r="XEX116" s="21"/>
      <c r="XEY116" s="21"/>
      <c r="XEZ116" s="21"/>
      <c r="XFA116" s="21"/>
      <c r="XFB116" s="21"/>
      <c r="XFC116" s="21"/>
      <c r="XFD116" s="21"/>
    </row>
    <row r="117" s="19" customFormat="1" ht="30" customHeight="1" spans="1:16384">
      <c r="A117" s="57" t="s">
        <v>221</v>
      </c>
      <c r="B117" s="55" t="s">
        <v>222</v>
      </c>
      <c r="C117" s="38" t="s">
        <v>50</v>
      </c>
      <c r="D117" s="57" t="s">
        <v>24</v>
      </c>
      <c r="E117" s="121"/>
      <c r="F117" s="54"/>
      <c r="G117" s="109"/>
      <c r="H117" s="112"/>
      <c r="I117" s="20"/>
      <c r="J117" s="155"/>
      <c r="K117" s="150"/>
      <c r="L117" s="148"/>
      <c r="M117" s="148"/>
      <c r="N117" s="148"/>
      <c r="O117" s="148"/>
      <c r="P117" s="148"/>
      <c r="Q117" s="148"/>
      <c r="R117" s="148"/>
      <c r="S117" s="148"/>
      <c r="T117" s="159"/>
      <c r="XDY117" s="21"/>
      <c r="XDZ117" s="21"/>
      <c r="XEA117" s="21"/>
      <c r="XEB117" s="21"/>
      <c r="XEC117" s="21"/>
      <c r="XED117" s="21"/>
      <c r="XEE117" s="21"/>
      <c r="XEF117" s="21"/>
      <c r="XEG117" s="21"/>
      <c r="XEH117" s="21"/>
      <c r="XEI117" s="21"/>
      <c r="XEJ117" s="21"/>
      <c r="XEK117" s="21"/>
      <c r="XEL117" s="21"/>
      <c r="XEM117" s="21"/>
      <c r="XEN117" s="21"/>
      <c r="XEO117" s="21"/>
      <c r="XEP117" s="21"/>
      <c r="XEQ117" s="21"/>
      <c r="XER117" s="21"/>
      <c r="XES117" s="21"/>
      <c r="XET117" s="21"/>
      <c r="XEU117" s="21"/>
      <c r="XEV117" s="21"/>
      <c r="XEW117" s="21"/>
      <c r="XEX117" s="21"/>
      <c r="XEY117" s="21"/>
      <c r="XEZ117" s="21"/>
      <c r="XFA117" s="21"/>
      <c r="XFB117" s="21"/>
      <c r="XFC117" s="21"/>
      <c r="XFD117" s="21"/>
    </row>
    <row r="118" s="19" customFormat="1" ht="12.6" spans="1:16384">
      <c r="A118" s="181">
        <v>1</v>
      </c>
      <c r="B118" s="182" t="s">
        <v>223</v>
      </c>
      <c r="C118" s="164" t="s">
        <v>224</v>
      </c>
      <c r="D118" s="183" t="s">
        <v>216</v>
      </c>
      <c r="E118" s="205">
        <f>22*(5.7+3.6+5.7+3.3+3.2)</f>
        <v>473</v>
      </c>
      <c r="F118" s="111"/>
      <c r="G118" s="111"/>
      <c r="H118" s="124" t="s">
        <v>225</v>
      </c>
      <c r="I118" s="154">
        <f>3.6293*110%</f>
        <v>3.99223</v>
      </c>
      <c r="J118" s="151">
        <v>0.4757</v>
      </c>
      <c r="K118" s="151">
        <f>0.0975</f>
        <v>0.0975</v>
      </c>
      <c r="L118" s="148">
        <f t="shared" ref="L118:L123" si="93">(I118+K118*8%)*22.78%</f>
        <v>0.911206834</v>
      </c>
      <c r="M118" s="148">
        <f t="shared" ref="M118:M123" si="94">(I118+K118*8%)*13.81%</f>
        <v>0.552404143</v>
      </c>
      <c r="N118" s="148">
        <f t="shared" ref="N118:N123" si="95">(I118+J118+K118+L118+M118)*13.5%</f>
        <v>0.813920531895</v>
      </c>
      <c r="O118" s="148">
        <f t="shared" ref="O118:O123" si="96">I118*20%</f>
        <v>0.798446</v>
      </c>
      <c r="P118" s="148">
        <f t="shared" ref="P118:P123" si="97">(I118+K118*8%)*18.04%</f>
        <v>0.721605412</v>
      </c>
      <c r="Q118" s="148">
        <f t="shared" ref="Q118:Q123" si="98">(I118+J118+K118+L118+M118+N118+O118+P118)*9%*(1+12%)</f>
        <v>0.842991702426216</v>
      </c>
      <c r="R118" s="148">
        <f t="shared" ref="R118:R123" si="99">I118+J118+K118+L118+M118+N118+O118+P118+Q118</f>
        <v>9.20600462332122</v>
      </c>
      <c r="S118" s="155">
        <f>R118+R119</f>
        <v>36.9862724645667</v>
      </c>
      <c r="XDY118" s="21"/>
      <c r="XDZ118" s="21"/>
      <c r="XEA118" s="21"/>
      <c r="XEB118" s="21"/>
      <c r="XEC118" s="21"/>
      <c r="XED118" s="21"/>
      <c r="XEE118" s="21"/>
      <c r="XEF118" s="21"/>
      <c r="XEG118" s="21"/>
      <c r="XEH118" s="21"/>
      <c r="XEI118" s="21"/>
      <c r="XEJ118" s="21"/>
      <c r="XEK118" s="21"/>
      <c r="XEL118" s="21"/>
      <c r="XEM118" s="21"/>
      <c r="XEN118" s="21"/>
      <c r="XEO118" s="21"/>
      <c r="XEP118" s="21"/>
      <c r="XEQ118" s="21"/>
      <c r="XER118" s="21"/>
      <c r="XES118" s="21"/>
      <c r="XET118" s="21"/>
      <c r="XEU118" s="21"/>
      <c r="XEV118" s="21"/>
      <c r="XEW118" s="21"/>
      <c r="XEX118" s="21"/>
      <c r="XEY118" s="21"/>
      <c r="XEZ118" s="21"/>
      <c r="XFA118" s="21"/>
      <c r="XFB118" s="21"/>
      <c r="XFC118" s="21"/>
      <c r="XFD118" s="21"/>
    </row>
    <row r="119" s="19" customFormat="1" ht="46" customHeight="1" spans="1:16384">
      <c r="A119" s="181"/>
      <c r="B119" s="184"/>
      <c r="C119" s="67"/>
      <c r="D119" s="185"/>
      <c r="E119" s="206"/>
      <c r="F119" s="132"/>
      <c r="G119" s="132"/>
      <c r="H119" s="144" t="s">
        <v>226</v>
      </c>
      <c r="I119" s="154">
        <f>8.757*110%</f>
        <v>9.6327</v>
      </c>
      <c r="J119" s="151">
        <f>0.231+1.06*5.3</f>
        <v>5.849</v>
      </c>
      <c r="K119" s="151"/>
      <c r="L119" s="148">
        <f t="shared" si="93"/>
        <v>2.19432906</v>
      </c>
      <c r="M119" s="148">
        <f t="shared" si="94"/>
        <v>1.33027587</v>
      </c>
      <c r="N119" s="148">
        <f t="shared" si="95"/>
        <v>2.56585116555</v>
      </c>
      <c r="O119" s="148">
        <f t="shared" si="96"/>
        <v>1.92654</v>
      </c>
      <c r="P119" s="148">
        <f t="shared" si="97"/>
        <v>1.73773908</v>
      </c>
      <c r="Q119" s="148">
        <f t="shared" si="98"/>
        <v>2.54383266569544</v>
      </c>
      <c r="R119" s="148">
        <f t="shared" si="99"/>
        <v>27.7802678412454</v>
      </c>
      <c r="S119" s="155"/>
      <c r="XDY119" s="21"/>
      <c r="XDZ119" s="21"/>
      <c r="XEA119" s="21"/>
      <c r="XEB119" s="21"/>
      <c r="XEC119" s="21"/>
      <c r="XED119" s="21"/>
      <c r="XEE119" s="21"/>
      <c r="XEF119" s="21"/>
      <c r="XEG119" s="21"/>
      <c r="XEH119" s="21"/>
      <c r="XEI119" s="21"/>
      <c r="XEJ119" s="21"/>
      <c r="XEK119" s="21"/>
      <c r="XEL119" s="21"/>
      <c r="XEM119" s="21"/>
      <c r="XEN119" s="21"/>
      <c r="XEO119" s="21"/>
      <c r="XEP119" s="21"/>
      <c r="XEQ119" s="21"/>
      <c r="XER119" s="21"/>
      <c r="XES119" s="21"/>
      <c r="XET119" s="21"/>
      <c r="XEU119" s="21"/>
      <c r="XEV119" s="21"/>
      <c r="XEW119" s="21"/>
      <c r="XEX119" s="21"/>
      <c r="XEY119" s="21"/>
      <c r="XEZ119" s="21"/>
      <c r="XFA119" s="21"/>
      <c r="XFB119" s="21"/>
      <c r="XFC119" s="21"/>
      <c r="XFD119" s="21"/>
    </row>
    <row r="120" s="19" customFormat="1" ht="45" customHeight="1" spans="1:16384">
      <c r="A120" s="51">
        <v>2</v>
      </c>
      <c r="B120" s="186" t="s">
        <v>223</v>
      </c>
      <c r="C120" s="36" t="s">
        <v>227</v>
      </c>
      <c r="D120" s="35" t="s">
        <v>216</v>
      </c>
      <c r="E120" s="105">
        <f>22*(5.7+4.2)</f>
        <v>217.8</v>
      </c>
      <c r="F120" s="116"/>
      <c r="G120" s="116"/>
      <c r="H120" s="144" t="s">
        <v>228</v>
      </c>
      <c r="I120" s="154">
        <f>8.34*110%</f>
        <v>9.174</v>
      </c>
      <c r="J120" s="151">
        <f>0.174+1.06*3.25</f>
        <v>3.619</v>
      </c>
      <c r="K120" s="151"/>
      <c r="L120" s="148">
        <f t="shared" si="93"/>
        <v>2.0898372</v>
      </c>
      <c r="M120" s="148">
        <f t="shared" si="94"/>
        <v>1.2669294</v>
      </c>
      <c r="N120" s="148">
        <f t="shared" si="95"/>
        <v>2.180218491</v>
      </c>
      <c r="O120" s="148">
        <f t="shared" si="96"/>
        <v>1.8348</v>
      </c>
      <c r="P120" s="148">
        <f t="shared" si="97"/>
        <v>1.6549896</v>
      </c>
      <c r="Q120" s="148">
        <f t="shared" si="98"/>
        <v>2.1994332888528</v>
      </c>
      <c r="R120" s="148">
        <f t="shared" si="99"/>
        <v>24.0192079798528</v>
      </c>
      <c r="S120" s="148">
        <f t="shared" ref="S120:S126" si="100">R120</f>
        <v>24.0192079798528</v>
      </c>
      <c r="T120" s="159"/>
      <c r="XDY120" s="21"/>
      <c r="XDZ120" s="21"/>
      <c r="XEA120" s="21"/>
      <c r="XEB120" s="21"/>
      <c r="XEC120" s="21"/>
      <c r="XED120" s="21"/>
      <c r="XEE120" s="21"/>
      <c r="XEF120" s="21"/>
      <c r="XEG120" s="21"/>
      <c r="XEH120" s="21"/>
      <c r="XEI120" s="21"/>
      <c r="XEJ120" s="21"/>
      <c r="XEK120" s="21"/>
      <c r="XEL120" s="21"/>
      <c r="XEM120" s="21"/>
      <c r="XEN120" s="21"/>
      <c r="XEO120" s="21"/>
      <c r="XEP120" s="21"/>
      <c r="XEQ120" s="21"/>
      <c r="XER120" s="21"/>
      <c r="XES120" s="21"/>
      <c r="XET120" s="21"/>
      <c r="XEU120" s="21"/>
      <c r="XEV120" s="21"/>
      <c r="XEW120" s="21"/>
      <c r="XEX120" s="21"/>
      <c r="XEY120" s="21"/>
      <c r="XEZ120" s="21"/>
      <c r="XFA120" s="21"/>
      <c r="XFB120" s="21"/>
      <c r="XFC120" s="21"/>
      <c r="XFD120" s="21"/>
    </row>
    <row r="121" s="22" customFormat="1" ht="38.55" spans="1:19">
      <c r="A121" s="50">
        <v>3</v>
      </c>
      <c r="B121" s="186" t="s">
        <v>229</v>
      </c>
      <c r="C121" s="36" t="s">
        <v>230</v>
      </c>
      <c r="D121" s="35" t="s">
        <v>216</v>
      </c>
      <c r="E121" s="105">
        <f>302*3</f>
        <v>906</v>
      </c>
      <c r="F121" s="116"/>
      <c r="G121" s="116"/>
      <c r="H121" s="144" t="s">
        <v>231</v>
      </c>
      <c r="I121" s="154">
        <f>0.864</f>
        <v>0.864</v>
      </c>
      <c r="J121" s="151">
        <f>0.161+1.05*4.1</f>
        <v>4.466</v>
      </c>
      <c r="K121" s="151"/>
      <c r="L121" s="148">
        <f t="shared" si="93"/>
        <v>0.1968192</v>
      </c>
      <c r="M121" s="148">
        <f t="shared" si="94"/>
        <v>0.1193184</v>
      </c>
      <c r="N121" s="148">
        <f t="shared" si="95"/>
        <v>0.762228576</v>
      </c>
      <c r="O121" s="148">
        <f t="shared" si="96"/>
        <v>0.1728</v>
      </c>
      <c r="P121" s="148">
        <f t="shared" si="97"/>
        <v>0.1558656</v>
      </c>
      <c r="Q121" s="148">
        <f t="shared" si="98"/>
        <v>0.6790928030208</v>
      </c>
      <c r="R121" s="148">
        <f t="shared" si="99"/>
        <v>7.4161245790208</v>
      </c>
      <c r="S121" s="154">
        <f t="shared" si="100"/>
        <v>7.4161245790208</v>
      </c>
    </row>
    <row r="122" s="22" customFormat="1" ht="37" customHeight="1" spans="1:19">
      <c r="A122" s="50">
        <v>4</v>
      </c>
      <c r="B122" s="187" t="s">
        <v>229</v>
      </c>
      <c r="C122" s="66" t="s">
        <v>232</v>
      </c>
      <c r="D122" s="61" t="s">
        <v>216</v>
      </c>
      <c r="E122" s="119">
        <f>217.8*3</f>
        <v>653.4</v>
      </c>
      <c r="F122" s="116"/>
      <c r="G122" s="116"/>
      <c r="H122" s="144" t="s">
        <v>233</v>
      </c>
      <c r="I122" s="154">
        <f>1.153</f>
        <v>1.153</v>
      </c>
      <c r="J122" s="151">
        <f>0.183+1.16*2.2</f>
        <v>2.735</v>
      </c>
      <c r="K122" s="151"/>
      <c r="L122" s="148">
        <f t="shared" si="93"/>
        <v>0.2626534</v>
      </c>
      <c r="M122" s="148">
        <f t="shared" si="94"/>
        <v>0.1592293</v>
      </c>
      <c r="N122" s="148">
        <f t="shared" si="95"/>
        <v>0.5818341645</v>
      </c>
      <c r="O122" s="148">
        <f t="shared" si="96"/>
        <v>0.2306</v>
      </c>
      <c r="P122" s="148">
        <f t="shared" si="97"/>
        <v>0.2080012</v>
      </c>
      <c r="Q122" s="148">
        <f t="shared" si="98"/>
        <v>0.5372960609016</v>
      </c>
      <c r="R122" s="148">
        <f t="shared" si="99"/>
        <v>5.8676141254016</v>
      </c>
      <c r="S122" s="154">
        <f t="shared" si="100"/>
        <v>5.8676141254016</v>
      </c>
    </row>
    <row r="123" s="22" customFormat="1" ht="37" customHeight="1" spans="1:19">
      <c r="A123" s="50">
        <v>5</v>
      </c>
      <c r="B123" s="187" t="s">
        <v>229</v>
      </c>
      <c r="C123" s="66" t="s">
        <v>234</v>
      </c>
      <c r="D123" s="61" t="s">
        <v>216</v>
      </c>
      <c r="E123" s="119">
        <f>107.8*3</f>
        <v>323.4</v>
      </c>
      <c r="F123" s="116"/>
      <c r="G123" s="116"/>
      <c r="H123" s="144" t="s">
        <v>235</v>
      </c>
      <c r="I123" s="154">
        <v>1.297</v>
      </c>
      <c r="J123" s="151">
        <f>0.139+1.05*2.35</f>
        <v>2.6065</v>
      </c>
      <c r="K123" s="151"/>
      <c r="L123" s="148">
        <f t="shared" si="93"/>
        <v>0.2954566</v>
      </c>
      <c r="M123" s="148">
        <f t="shared" si="94"/>
        <v>0.1791157</v>
      </c>
      <c r="N123" s="148">
        <f t="shared" si="95"/>
        <v>0.5910397605</v>
      </c>
      <c r="O123" s="148">
        <f t="shared" si="96"/>
        <v>0.2594</v>
      </c>
      <c r="P123" s="148">
        <f t="shared" si="97"/>
        <v>0.2339788</v>
      </c>
      <c r="Q123" s="148">
        <f t="shared" si="98"/>
        <v>0.5506190787384</v>
      </c>
      <c r="R123" s="148">
        <f t="shared" si="99"/>
        <v>6.0131099392384</v>
      </c>
      <c r="S123" s="154">
        <f t="shared" si="100"/>
        <v>6.0131099392384</v>
      </c>
    </row>
    <row r="124" s="22" customFormat="1" ht="35" customHeight="1" spans="1:19">
      <c r="A124" s="81">
        <v>6</v>
      </c>
      <c r="B124" s="187" t="s">
        <v>229</v>
      </c>
      <c r="C124" s="66" t="s">
        <v>236</v>
      </c>
      <c r="D124" s="61" t="s">
        <v>216</v>
      </c>
      <c r="E124" s="119">
        <f>(5.7*12*2)*5</f>
        <v>684</v>
      </c>
      <c r="F124" s="116"/>
      <c r="G124" s="116"/>
      <c r="H124" s="144" t="s">
        <v>237</v>
      </c>
      <c r="I124" s="154">
        <f>1.153</f>
        <v>1.153</v>
      </c>
      <c r="J124" s="151">
        <f>0.161+1.05*5.01</f>
        <v>5.4215</v>
      </c>
      <c r="K124" s="151"/>
      <c r="L124" s="148">
        <f t="shared" ref="L124:L131" si="101">(I124+K124*8%)*22.78%</f>
        <v>0.2626534</v>
      </c>
      <c r="M124" s="148">
        <f t="shared" ref="M124:M131" si="102">(I124+K124*8%)*13.81%</f>
        <v>0.1592293</v>
      </c>
      <c r="N124" s="148">
        <f t="shared" ref="N124:N129" si="103">(I124+J124+K124+L124+M124)*13.5%</f>
        <v>0.9445116645</v>
      </c>
      <c r="O124" s="148">
        <f t="shared" ref="O124:O131" si="104">I124*20%</f>
        <v>0.2306</v>
      </c>
      <c r="P124" s="148">
        <f t="shared" ref="P124:P131" si="105">(I124+K124*8%)*18.04%</f>
        <v>0.2080012</v>
      </c>
      <c r="Q124" s="148">
        <f t="shared" ref="Q124:Q131" si="106">(I124+J124+K124+L124+M124+N124+O124+P124)*9%*(1+12%)</f>
        <v>0.8446531529016</v>
      </c>
      <c r="R124" s="148">
        <f t="shared" ref="R124:R131" si="107">I124+J124+K124+L124+M124+N124+O124+P124+Q124</f>
        <v>9.2241487174016</v>
      </c>
      <c r="S124" s="148">
        <f t="shared" si="100"/>
        <v>9.2241487174016</v>
      </c>
    </row>
    <row r="125" s="19" customFormat="1" ht="45" customHeight="1" spans="1:16384">
      <c r="A125" s="51">
        <v>7</v>
      </c>
      <c r="B125" s="188" t="s">
        <v>238</v>
      </c>
      <c r="C125" s="53" t="s">
        <v>239</v>
      </c>
      <c r="D125" s="46" t="s">
        <v>75</v>
      </c>
      <c r="E125" s="195">
        <v>2</v>
      </c>
      <c r="F125" s="116"/>
      <c r="G125" s="116"/>
      <c r="H125" s="144" t="s">
        <v>240</v>
      </c>
      <c r="I125" s="154">
        <f>1007.38</f>
        <v>1007.38</v>
      </c>
      <c r="J125" s="151">
        <f>32.47+5670</f>
        <v>5702.47</v>
      </c>
      <c r="K125" s="151">
        <v>158.45</v>
      </c>
      <c r="L125" s="148">
        <f t="shared" si="101"/>
        <v>232.3687568</v>
      </c>
      <c r="M125" s="148">
        <f t="shared" si="102"/>
        <v>140.8697336</v>
      </c>
      <c r="N125" s="148">
        <f t="shared" si="103"/>
        <v>977.607696204</v>
      </c>
      <c r="O125" s="148">
        <f t="shared" si="104"/>
        <v>201.476</v>
      </c>
      <c r="P125" s="148">
        <f t="shared" si="105"/>
        <v>184.0181024</v>
      </c>
      <c r="Q125" s="148">
        <f t="shared" si="106"/>
        <v>867.347741131603</v>
      </c>
      <c r="R125" s="148">
        <f t="shared" si="107"/>
        <v>9471.9880301356</v>
      </c>
      <c r="S125" s="148">
        <f t="shared" si="100"/>
        <v>9471.9880301356</v>
      </c>
      <c r="XDY125" s="21"/>
      <c r="XDZ125" s="21"/>
      <c r="XEA125" s="21"/>
      <c r="XEB125" s="21"/>
      <c r="XEC125" s="21"/>
      <c r="XED125" s="21"/>
      <c r="XEE125" s="21"/>
      <c r="XEF125" s="21"/>
      <c r="XEG125" s="21"/>
      <c r="XEH125" s="21"/>
      <c r="XEI125" s="21"/>
      <c r="XEJ125" s="21"/>
      <c r="XEK125" s="21"/>
      <c r="XEL125" s="21"/>
      <c r="XEM125" s="21"/>
      <c r="XEN125" s="21"/>
      <c r="XEO125" s="21"/>
      <c r="XEP125" s="21"/>
      <c r="XEQ125" s="21"/>
      <c r="XER125" s="21"/>
      <c r="XES125" s="21"/>
      <c r="XET125" s="21"/>
      <c r="XEU125" s="21"/>
      <c r="XEV125" s="21"/>
      <c r="XEW125" s="21"/>
      <c r="XEX125" s="21"/>
      <c r="XEY125" s="21"/>
      <c r="XEZ125" s="21"/>
      <c r="XFA125" s="21"/>
      <c r="XFB125" s="21"/>
      <c r="XFC125" s="21"/>
      <c r="XFD125" s="21"/>
    </row>
    <row r="126" s="19" customFormat="1" ht="45" customHeight="1" spans="1:16384">
      <c r="A126" s="51">
        <v>8</v>
      </c>
      <c r="B126" s="189" t="s">
        <v>241</v>
      </c>
      <c r="C126" s="53" t="s">
        <v>242</v>
      </c>
      <c r="D126" s="50" t="s">
        <v>243</v>
      </c>
      <c r="E126" s="138">
        <v>23</v>
      </c>
      <c r="F126" s="116"/>
      <c r="G126" s="116"/>
      <c r="H126" s="144" t="s">
        <v>244</v>
      </c>
      <c r="I126" s="154">
        <f>8.96*110%</f>
        <v>9.856</v>
      </c>
      <c r="J126" s="151">
        <f>1.12+1.02*40</f>
        <v>41.92</v>
      </c>
      <c r="K126" s="151"/>
      <c r="L126" s="148">
        <f t="shared" si="101"/>
        <v>2.2451968</v>
      </c>
      <c r="M126" s="148">
        <f t="shared" si="102"/>
        <v>1.3611136</v>
      </c>
      <c r="N126" s="148">
        <f t="shared" si="103"/>
        <v>7.476611904</v>
      </c>
      <c r="O126" s="148">
        <f t="shared" si="104"/>
        <v>1.9712</v>
      </c>
      <c r="P126" s="148">
        <f t="shared" si="105"/>
        <v>1.7780224</v>
      </c>
      <c r="Q126" s="148">
        <f t="shared" si="106"/>
        <v>6.7141009861632</v>
      </c>
      <c r="R126" s="148">
        <f t="shared" si="107"/>
        <v>73.3222456901632</v>
      </c>
      <c r="S126" s="148">
        <f t="shared" si="100"/>
        <v>73.3222456901632</v>
      </c>
      <c r="XDY126" s="21"/>
      <c r="XDZ126" s="21"/>
      <c r="XEA126" s="21"/>
      <c r="XEB126" s="21"/>
      <c r="XEC126" s="21"/>
      <c r="XED126" s="21"/>
      <c r="XEE126" s="21"/>
      <c r="XEF126" s="21"/>
      <c r="XEG126" s="21"/>
      <c r="XEH126" s="21"/>
      <c r="XEI126" s="21"/>
      <c r="XEJ126" s="21"/>
      <c r="XEK126" s="21"/>
      <c r="XEL126" s="21"/>
      <c r="XEM126" s="21"/>
      <c r="XEN126" s="21"/>
      <c r="XEO126" s="21"/>
      <c r="XEP126" s="21"/>
      <c r="XEQ126" s="21"/>
      <c r="XER126" s="21"/>
      <c r="XES126" s="21"/>
      <c r="XET126" s="21"/>
      <c r="XEU126" s="21"/>
      <c r="XEV126" s="21"/>
      <c r="XEW126" s="21"/>
      <c r="XEX126" s="21"/>
      <c r="XEY126" s="21"/>
      <c r="XEZ126" s="21"/>
      <c r="XFA126" s="21"/>
      <c r="XFB126" s="21"/>
      <c r="XFC126" s="21"/>
      <c r="XFD126" s="21"/>
    </row>
    <row r="127" s="19" customFormat="1" ht="12.6" spans="1:16384">
      <c r="A127" s="81">
        <v>9</v>
      </c>
      <c r="B127" s="163" t="s">
        <v>245</v>
      </c>
      <c r="C127" s="164" t="s">
        <v>246</v>
      </c>
      <c r="D127" s="42" t="s">
        <v>75</v>
      </c>
      <c r="E127" s="135">
        <v>36</v>
      </c>
      <c r="F127" s="111"/>
      <c r="G127" s="111"/>
      <c r="H127" s="124" t="s">
        <v>247</v>
      </c>
      <c r="I127" s="154">
        <f>3.6293*110%</f>
        <v>3.99223</v>
      </c>
      <c r="J127" s="151">
        <v>0.4757</v>
      </c>
      <c r="K127" s="151">
        <f>0.0975</f>
        <v>0.0975</v>
      </c>
      <c r="L127" s="148">
        <f t="shared" ref="L127:L135" si="108">(I127+K127*8%)*22.78%</f>
        <v>0.911206834</v>
      </c>
      <c r="M127" s="148">
        <f t="shared" ref="M127:M135" si="109">(I127+K127*8%)*13.81%</f>
        <v>0.552404143</v>
      </c>
      <c r="N127" s="148">
        <f t="shared" si="103"/>
        <v>0.813920531895</v>
      </c>
      <c r="O127" s="148">
        <f t="shared" ref="O127:O135" si="110">I127*20%</f>
        <v>0.798446</v>
      </c>
      <c r="P127" s="148">
        <f t="shared" ref="P127:P135" si="111">(I127+K127*8%)*18.04%</f>
        <v>0.721605412</v>
      </c>
      <c r="Q127" s="148">
        <f t="shared" ref="Q127:Q135" si="112">(I127+J127+K127+L127+M127+N127+O127+P127)*9%*(1+12%)</f>
        <v>0.842991702426216</v>
      </c>
      <c r="R127" s="148">
        <f t="shared" ref="R127:R135" si="113">I127+J127+K127+L127+M127+N127+O127+P127+Q127</f>
        <v>9.20600462332122</v>
      </c>
      <c r="S127" s="155">
        <f>R127+R128</f>
        <v>225.690591766246</v>
      </c>
      <c r="XDY127" s="21"/>
      <c r="XDZ127" s="21"/>
      <c r="XEA127" s="21"/>
      <c r="XEB127" s="21"/>
      <c r="XEC127" s="21"/>
      <c r="XED127" s="21"/>
      <c r="XEE127" s="21"/>
      <c r="XEF127" s="21"/>
      <c r="XEG127" s="21"/>
      <c r="XEH127" s="21"/>
      <c r="XEI127" s="21"/>
      <c r="XEJ127" s="21"/>
      <c r="XEK127" s="21"/>
      <c r="XEL127" s="21"/>
      <c r="XEM127" s="21"/>
      <c r="XEN127" s="21"/>
      <c r="XEO127" s="21"/>
      <c r="XEP127" s="21"/>
      <c r="XEQ127" s="21"/>
      <c r="XER127" s="21"/>
      <c r="XES127" s="21"/>
      <c r="XET127" s="21"/>
      <c r="XEU127" s="21"/>
      <c r="XEV127" s="21"/>
      <c r="XEW127" s="21"/>
      <c r="XEX127" s="21"/>
      <c r="XEY127" s="21"/>
      <c r="XEZ127" s="21"/>
      <c r="XFA127" s="21"/>
      <c r="XFB127" s="21"/>
      <c r="XFC127" s="21"/>
      <c r="XFD127" s="21"/>
    </row>
    <row r="128" s="19" customFormat="1" ht="33" customHeight="1" spans="1:16384">
      <c r="A128" s="81"/>
      <c r="B128" s="80"/>
      <c r="C128" s="67"/>
      <c r="D128" s="64"/>
      <c r="E128" s="125"/>
      <c r="F128" s="132"/>
      <c r="G128" s="132"/>
      <c r="H128" s="144" t="s">
        <v>248</v>
      </c>
      <c r="I128" s="154">
        <f>22.09*110%</f>
        <v>24.299</v>
      </c>
      <c r="J128" s="151">
        <f>6.49+1.01*140</f>
        <v>147.89</v>
      </c>
      <c r="K128" s="151"/>
      <c r="L128" s="148">
        <f t="shared" si="108"/>
        <v>5.5353122</v>
      </c>
      <c r="M128" s="148">
        <f t="shared" si="109"/>
        <v>3.3556919</v>
      </c>
      <c r="N128" s="148">
        <f>(I128+J128+K128+L128+M128)*3.5%</f>
        <v>6.3378001435</v>
      </c>
      <c r="O128" s="148">
        <f t="shared" si="110"/>
        <v>4.8598</v>
      </c>
      <c r="P128" s="148">
        <f t="shared" si="111"/>
        <v>4.3835396</v>
      </c>
      <c r="Q128" s="148">
        <f t="shared" si="112"/>
        <v>19.8234432994248</v>
      </c>
      <c r="R128" s="148">
        <f t="shared" si="113"/>
        <v>216.484587142925</v>
      </c>
      <c r="S128" s="155"/>
      <c r="XDY128" s="21"/>
      <c r="XDZ128" s="21"/>
      <c r="XEA128" s="21"/>
      <c r="XEB128" s="21"/>
      <c r="XEC128" s="21"/>
      <c r="XED128" s="21"/>
      <c r="XEE128" s="21"/>
      <c r="XEF128" s="21"/>
      <c r="XEG128" s="21"/>
      <c r="XEH128" s="21"/>
      <c r="XEI128" s="21"/>
      <c r="XEJ128" s="21"/>
      <c r="XEK128" s="21"/>
      <c r="XEL128" s="21"/>
      <c r="XEM128" s="21"/>
      <c r="XEN128" s="21"/>
      <c r="XEO128" s="21"/>
      <c r="XEP128" s="21"/>
      <c r="XEQ128" s="21"/>
      <c r="XER128" s="21"/>
      <c r="XES128" s="21"/>
      <c r="XET128" s="21"/>
      <c r="XEU128" s="21"/>
      <c r="XEV128" s="21"/>
      <c r="XEW128" s="21"/>
      <c r="XEX128" s="21"/>
      <c r="XEY128" s="21"/>
      <c r="XEZ128" s="21"/>
      <c r="XFA128" s="21"/>
      <c r="XFB128" s="21"/>
      <c r="XFC128" s="21"/>
      <c r="XFD128" s="21"/>
    </row>
    <row r="129" s="19" customFormat="1" ht="52" customHeight="1" spans="1:16384">
      <c r="A129" s="181">
        <v>10</v>
      </c>
      <c r="B129" s="208" t="s">
        <v>249</v>
      </c>
      <c r="C129" s="66" t="s">
        <v>250</v>
      </c>
      <c r="D129" s="61" t="s">
        <v>243</v>
      </c>
      <c r="E129" s="119">
        <f>21*4</f>
        <v>84</v>
      </c>
      <c r="F129" s="116"/>
      <c r="G129" s="116"/>
      <c r="H129" s="144" t="s">
        <v>251</v>
      </c>
      <c r="I129" s="154">
        <f>8.96*110%</f>
        <v>9.856</v>
      </c>
      <c r="J129" s="151">
        <f>1.38+1.02*30</f>
        <v>31.98</v>
      </c>
      <c r="K129" s="151"/>
      <c r="L129" s="148">
        <f t="shared" si="108"/>
        <v>2.2451968</v>
      </c>
      <c r="M129" s="148">
        <f t="shared" si="109"/>
        <v>1.3611136</v>
      </c>
      <c r="N129" s="148">
        <f t="shared" ref="N129:N155" si="114">(I129+J129+K129+L129+M129)*13.5%</f>
        <v>6.134711904</v>
      </c>
      <c r="O129" s="148">
        <f t="shared" si="110"/>
        <v>1.9712</v>
      </c>
      <c r="P129" s="148">
        <f t="shared" si="111"/>
        <v>1.7780224</v>
      </c>
      <c r="Q129" s="148">
        <f t="shared" si="112"/>
        <v>5.5768854661632</v>
      </c>
      <c r="R129" s="148">
        <f t="shared" si="113"/>
        <v>60.9031301701632</v>
      </c>
      <c r="S129" s="148">
        <f>R129</f>
        <v>60.9031301701632</v>
      </c>
      <c r="XDY129" s="21"/>
      <c r="XDZ129" s="21"/>
      <c r="XEA129" s="21"/>
      <c r="XEB129" s="21"/>
      <c r="XEC129" s="21"/>
      <c r="XED129" s="21"/>
      <c r="XEE129" s="21"/>
      <c r="XEF129" s="21"/>
      <c r="XEG129" s="21"/>
      <c r="XEH129" s="21"/>
      <c r="XEI129" s="21"/>
      <c r="XEJ129" s="21"/>
      <c r="XEK129" s="21"/>
      <c r="XEL129" s="21"/>
      <c r="XEM129" s="21"/>
      <c r="XEN129" s="21"/>
      <c r="XEO129" s="21"/>
      <c r="XEP129" s="21"/>
      <c r="XEQ129" s="21"/>
      <c r="XER129" s="21"/>
      <c r="XES129" s="21"/>
      <c r="XET129" s="21"/>
      <c r="XEU129" s="21"/>
      <c r="XEV129" s="21"/>
      <c r="XEW129" s="21"/>
      <c r="XEX129" s="21"/>
      <c r="XEY129" s="21"/>
      <c r="XEZ129" s="21"/>
      <c r="XFA129" s="21"/>
      <c r="XFB129" s="21"/>
      <c r="XFC129" s="21"/>
      <c r="XFD129" s="21"/>
    </row>
    <row r="130" s="22" customFormat="1" ht="35" customHeight="1" spans="1:20">
      <c r="A130" s="47">
        <v>11</v>
      </c>
      <c r="B130" s="209" t="s">
        <v>252</v>
      </c>
      <c r="C130" s="66" t="s">
        <v>253</v>
      </c>
      <c r="D130" s="50" t="s">
        <v>216</v>
      </c>
      <c r="E130" s="234">
        <f>19.2*2</f>
        <v>38.4</v>
      </c>
      <c r="F130" s="116"/>
      <c r="G130" s="116"/>
      <c r="H130" s="112" t="s">
        <v>97</v>
      </c>
      <c r="I130" s="20">
        <f t="shared" ref="I130:I134" si="115">4.9876*110%</f>
        <v>5.48636</v>
      </c>
      <c r="J130" s="150">
        <v>0.5749</v>
      </c>
      <c r="K130" s="150">
        <v>0.5996</v>
      </c>
      <c r="L130" s="148">
        <f t="shared" si="108"/>
        <v>1.2607199184</v>
      </c>
      <c r="M130" s="148">
        <f t="shared" si="109"/>
        <v>0.7642906968</v>
      </c>
      <c r="N130" s="148">
        <f t="shared" si="114"/>
        <v>1.172592533052</v>
      </c>
      <c r="O130" s="148">
        <f t="shared" si="110"/>
        <v>1.097272</v>
      </c>
      <c r="P130" s="148">
        <f t="shared" si="111"/>
        <v>0.9983927712</v>
      </c>
      <c r="Q130" s="148">
        <f t="shared" si="112"/>
        <v>1.20497609428076</v>
      </c>
      <c r="R130" s="148">
        <f t="shared" si="113"/>
        <v>13.1591040137328</v>
      </c>
      <c r="S130" s="155">
        <f t="shared" ref="S130:S134" si="116">R130+R131</f>
        <v>155.237059268034</v>
      </c>
      <c r="T130" s="154" t="s">
        <v>254</v>
      </c>
    </row>
    <row r="131" s="22" customFormat="1" ht="35" customHeight="1" spans="1:20">
      <c r="A131" s="47"/>
      <c r="B131" s="209"/>
      <c r="C131" s="66"/>
      <c r="D131" s="50"/>
      <c r="E131" s="234"/>
      <c r="F131" s="116"/>
      <c r="G131" s="116"/>
      <c r="H131" s="124" t="s">
        <v>255</v>
      </c>
      <c r="I131" s="154">
        <f>22.715*110%</f>
        <v>24.9865</v>
      </c>
      <c r="J131" s="151">
        <f>0.902+0.982*25+1.016*45+0.0002*126</f>
        <v>71.1972</v>
      </c>
      <c r="K131" s="151">
        <v>0.015</v>
      </c>
      <c r="L131" s="148">
        <f t="shared" si="108"/>
        <v>5.69219806</v>
      </c>
      <c r="M131" s="148">
        <f t="shared" si="109"/>
        <v>3.45080137</v>
      </c>
      <c r="N131" s="148">
        <f t="shared" si="114"/>
        <v>14.22112942305</v>
      </c>
      <c r="O131" s="148">
        <f t="shared" si="110"/>
        <v>4.9973</v>
      </c>
      <c r="P131" s="148">
        <f t="shared" si="111"/>
        <v>4.50778108</v>
      </c>
      <c r="Q131" s="148">
        <f t="shared" si="112"/>
        <v>13.0100453212514</v>
      </c>
      <c r="R131" s="148">
        <f t="shared" si="113"/>
        <v>142.077955254301</v>
      </c>
      <c r="S131" s="155"/>
      <c r="T131" s="154" t="s">
        <v>256</v>
      </c>
    </row>
    <row r="132" s="22" customFormat="1" ht="22.5" customHeight="1" spans="1:20">
      <c r="A132" s="50">
        <v>12</v>
      </c>
      <c r="B132" s="209" t="s">
        <v>252</v>
      </c>
      <c r="C132" s="66" t="s">
        <v>257</v>
      </c>
      <c r="D132" s="50" t="s">
        <v>216</v>
      </c>
      <c r="E132" s="234">
        <f>6.5*11*2</f>
        <v>143</v>
      </c>
      <c r="F132" s="116"/>
      <c r="G132" s="116"/>
      <c r="H132" s="112" t="s">
        <v>97</v>
      </c>
      <c r="I132" s="20">
        <f t="shared" si="115"/>
        <v>5.48636</v>
      </c>
      <c r="J132" s="150">
        <v>0.5749</v>
      </c>
      <c r="K132" s="150">
        <v>0.5996</v>
      </c>
      <c r="L132" s="148">
        <f t="shared" si="108"/>
        <v>1.2607199184</v>
      </c>
      <c r="M132" s="148">
        <f t="shared" si="109"/>
        <v>0.7642906968</v>
      </c>
      <c r="N132" s="148">
        <f t="shared" si="114"/>
        <v>1.172592533052</v>
      </c>
      <c r="O132" s="148">
        <f t="shared" si="110"/>
        <v>1.097272</v>
      </c>
      <c r="P132" s="148">
        <f t="shared" si="111"/>
        <v>0.9983927712</v>
      </c>
      <c r="Q132" s="148">
        <f t="shared" si="112"/>
        <v>1.20497609428076</v>
      </c>
      <c r="R132" s="148">
        <f t="shared" si="113"/>
        <v>13.1591040137328</v>
      </c>
      <c r="S132" s="155">
        <f t="shared" si="116"/>
        <v>70.0798348940656</v>
      </c>
      <c r="T132" s="154" t="s">
        <v>254</v>
      </c>
    </row>
    <row r="133" s="22" customFormat="1" ht="22.5" customHeight="1" spans="1:20">
      <c r="A133" s="50"/>
      <c r="B133" s="209"/>
      <c r="C133" s="66"/>
      <c r="D133" s="50"/>
      <c r="E133" s="234"/>
      <c r="F133" s="116"/>
      <c r="G133" s="116"/>
      <c r="H133" s="124" t="s">
        <v>258</v>
      </c>
      <c r="I133" s="154">
        <f>16.248*110%</f>
        <v>17.8728</v>
      </c>
      <c r="J133" s="151">
        <f>0.165+1.016*8+1.52*4.5+0.0002*34.65</f>
        <v>15.13993</v>
      </c>
      <c r="K133" s="151">
        <v>0.015</v>
      </c>
      <c r="L133" s="148">
        <f t="shared" ref="L133:L147" si="117">(I133+K133*8%)*22.78%</f>
        <v>4.0716972</v>
      </c>
      <c r="M133" s="148">
        <f t="shared" ref="M133:M147" si="118">(I133+K133*8%)*13.81%</f>
        <v>2.4683994</v>
      </c>
      <c r="N133" s="148">
        <f t="shared" si="114"/>
        <v>5.341656591</v>
      </c>
      <c r="O133" s="148">
        <f t="shared" ref="O133:O147" si="119">I133*20%</f>
        <v>3.57456</v>
      </c>
      <c r="P133" s="148">
        <f t="shared" ref="P133:P147" si="120">(I133+K133*8%)*18.04%</f>
        <v>3.2244696</v>
      </c>
      <c r="Q133" s="148">
        <f t="shared" ref="Q133:Q147" si="121">(I133+J133+K133+L133+M133+N133+O133+P133)*9%*(1+12%)</f>
        <v>5.2122180893328</v>
      </c>
      <c r="R133" s="148">
        <f t="shared" ref="R133:R147" si="122">I133+J133+K133+L133+M133+N133+O133+P133+Q133</f>
        <v>56.9207308803328</v>
      </c>
      <c r="S133" s="155"/>
      <c r="T133" s="154"/>
    </row>
    <row r="134" s="22" customFormat="1" ht="35" customHeight="1" spans="1:20">
      <c r="A134" s="47">
        <v>13</v>
      </c>
      <c r="B134" s="209" t="s">
        <v>252</v>
      </c>
      <c r="C134" s="66" t="s">
        <v>259</v>
      </c>
      <c r="D134" s="50" t="s">
        <v>216</v>
      </c>
      <c r="E134" s="234">
        <f>19.2*2</f>
        <v>38.4</v>
      </c>
      <c r="F134" s="116"/>
      <c r="G134" s="116"/>
      <c r="H134" s="112" t="s">
        <v>97</v>
      </c>
      <c r="I134" s="20">
        <f t="shared" si="115"/>
        <v>5.48636</v>
      </c>
      <c r="J134" s="150">
        <v>0.5749</v>
      </c>
      <c r="K134" s="150">
        <v>0.5996</v>
      </c>
      <c r="L134" s="148">
        <f t="shared" si="117"/>
        <v>1.2607199184</v>
      </c>
      <c r="M134" s="148">
        <f t="shared" si="118"/>
        <v>0.7642906968</v>
      </c>
      <c r="N134" s="148">
        <f t="shared" si="114"/>
        <v>1.172592533052</v>
      </c>
      <c r="O134" s="148">
        <f t="shared" si="119"/>
        <v>1.097272</v>
      </c>
      <c r="P134" s="148">
        <f t="shared" si="120"/>
        <v>0.9983927712</v>
      </c>
      <c r="Q134" s="148">
        <f t="shared" si="121"/>
        <v>1.20497609428076</v>
      </c>
      <c r="R134" s="148">
        <f t="shared" si="122"/>
        <v>13.1591040137328</v>
      </c>
      <c r="S134" s="155">
        <f t="shared" si="116"/>
        <v>139.369577668034</v>
      </c>
      <c r="T134" s="154" t="s">
        <v>254</v>
      </c>
    </row>
    <row r="135" s="22" customFormat="1" ht="35" customHeight="1" spans="1:20">
      <c r="A135" s="47"/>
      <c r="B135" s="209"/>
      <c r="C135" s="66"/>
      <c r="D135" s="50"/>
      <c r="E135" s="234"/>
      <c r="F135" s="116"/>
      <c r="G135" s="116"/>
      <c r="H135" s="124" t="s">
        <v>255</v>
      </c>
      <c r="I135" s="154">
        <f>22.715*110%</f>
        <v>24.9865</v>
      </c>
      <c r="J135" s="151">
        <f>0.902+0.982*25+1.016*32.5+0.0002*126</f>
        <v>58.4972</v>
      </c>
      <c r="K135" s="151">
        <v>0.015</v>
      </c>
      <c r="L135" s="148">
        <f t="shared" si="117"/>
        <v>5.69219806</v>
      </c>
      <c r="M135" s="148">
        <f t="shared" si="118"/>
        <v>3.45080137</v>
      </c>
      <c r="N135" s="148">
        <f t="shared" si="114"/>
        <v>12.50662942305</v>
      </c>
      <c r="O135" s="148">
        <f t="shared" si="119"/>
        <v>4.9973</v>
      </c>
      <c r="P135" s="148">
        <f t="shared" si="120"/>
        <v>4.50778108</v>
      </c>
      <c r="Q135" s="148">
        <f t="shared" si="121"/>
        <v>11.5570637212514</v>
      </c>
      <c r="R135" s="148">
        <f t="shared" si="122"/>
        <v>126.210473654301</v>
      </c>
      <c r="S135" s="155"/>
      <c r="T135" s="154" t="s">
        <v>256</v>
      </c>
    </row>
    <row r="136" s="22" customFormat="1" ht="39" customHeight="1" spans="1:20">
      <c r="A136" s="71">
        <v>14</v>
      </c>
      <c r="B136" s="210" t="s">
        <v>260</v>
      </c>
      <c r="C136" s="66" t="s">
        <v>261</v>
      </c>
      <c r="D136" s="211" t="s">
        <v>243</v>
      </c>
      <c r="E136" s="117">
        <f>8*2</f>
        <v>16</v>
      </c>
      <c r="F136" s="116"/>
      <c r="G136" s="234"/>
      <c r="H136" s="144" t="s">
        <v>262</v>
      </c>
      <c r="I136" s="151">
        <v>8</v>
      </c>
      <c r="J136" s="151">
        <f>0.21+1.01*35</f>
        <v>35.56</v>
      </c>
      <c r="K136" s="151">
        <v>1.33</v>
      </c>
      <c r="L136" s="148">
        <f t="shared" si="117"/>
        <v>1.84663792</v>
      </c>
      <c r="M136" s="148">
        <f t="shared" si="118"/>
        <v>1.11949384</v>
      </c>
      <c r="N136" s="148">
        <f t="shared" si="114"/>
        <v>6.4605777876</v>
      </c>
      <c r="O136" s="148">
        <f t="shared" si="119"/>
        <v>1.6</v>
      </c>
      <c r="P136" s="148">
        <f t="shared" si="120"/>
        <v>1.46239456</v>
      </c>
      <c r="Q136" s="148">
        <f t="shared" si="121"/>
        <v>5.78381369404608</v>
      </c>
      <c r="R136" s="148">
        <f t="shared" si="122"/>
        <v>63.1629178016461</v>
      </c>
      <c r="S136" s="148">
        <f>R136*110%</f>
        <v>69.4792095818107</v>
      </c>
      <c r="T136" s="154"/>
    </row>
    <row r="137" s="22" customFormat="1" ht="39" customHeight="1" spans="1:20">
      <c r="A137" s="81">
        <v>15</v>
      </c>
      <c r="B137" s="210" t="s">
        <v>260</v>
      </c>
      <c r="C137" s="66" t="s">
        <v>263</v>
      </c>
      <c r="D137" s="211" t="s">
        <v>243</v>
      </c>
      <c r="E137" s="235">
        <f>6</f>
        <v>6</v>
      </c>
      <c r="F137" s="116"/>
      <c r="G137" s="234"/>
      <c r="H137" s="144" t="s">
        <v>264</v>
      </c>
      <c r="I137" s="154">
        <v>12.81</v>
      </c>
      <c r="J137" s="151">
        <f>0.27+1.01*45</f>
        <v>45.72</v>
      </c>
      <c r="K137" s="151"/>
      <c r="L137" s="148">
        <f t="shared" si="117"/>
        <v>2.918118</v>
      </c>
      <c r="M137" s="148">
        <f t="shared" si="118"/>
        <v>1.769061</v>
      </c>
      <c r="N137" s="148">
        <f t="shared" si="114"/>
        <v>8.534319165</v>
      </c>
      <c r="O137" s="148">
        <f t="shared" si="119"/>
        <v>2.562</v>
      </c>
      <c r="P137" s="148">
        <f t="shared" si="120"/>
        <v>2.310924</v>
      </c>
      <c r="Q137" s="148">
        <f t="shared" si="121"/>
        <v>7.723741754232</v>
      </c>
      <c r="R137" s="148">
        <f t="shared" si="122"/>
        <v>84.348163919232</v>
      </c>
      <c r="S137" s="148">
        <f>R137*110%</f>
        <v>92.7829803111552</v>
      </c>
      <c r="T137" s="154"/>
    </row>
    <row r="138" s="22" customFormat="1" spans="1:20">
      <c r="A138" s="47">
        <v>16</v>
      </c>
      <c r="B138" s="212" t="s">
        <v>265</v>
      </c>
      <c r="C138" s="164" t="s">
        <v>266</v>
      </c>
      <c r="D138" s="213" t="s">
        <v>75</v>
      </c>
      <c r="E138" s="236">
        <v>9</v>
      </c>
      <c r="F138" s="111"/>
      <c r="G138" s="111"/>
      <c r="H138" s="237" t="s">
        <v>133</v>
      </c>
      <c r="I138" s="207">
        <f>42.59</f>
        <v>42.59</v>
      </c>
      <c r="J138" s="207">
        <f>0.08</f>
        <v>0.08</v>
      </c>
      <c r="K138" s="151"/>
      <c r="L138" s="148">
        <f t="shared" si="117"/>
        <v>9.702002</v>
      </c>
      <c r="M138" s="148">
        <f t="shared" si="118"/>
        <v>5.881679</v>
      </c>
      <c r="N138" s="148">
        <f t="shared" si="114"/>
        <v>7.864246935</v>
      </c>
      <c r="O138" s="148">
        <f t="shared" si="119"/>
        <v>8.518</v>
      </c>
      <c r="P138" s="148">
        <f t="shared" si="120"/>
        <v>7.683236</v>
      </c>
      <c r="Q138" s="148">
        <f t="shared" si="121"/>
        <v>8.297771724648</v>
      </c>
      <c r="R138" s="148">
        <f t="shared" si="122"/>
        <v>90.616935659648</v>
      </c>
      <c r="S138" s="155">
        <f t="shared" ref="S138:S143" si="123">R138+R139</f>
        <v>1108.31529190973</v>
      </c>
      <c r="T138" s="20" t="s">
        <v>81</v>
      </c>
    </row>
    <row r="139" s="22" customFormat="1" ht="45" customHeight="1" spans="1:19">
      <c r="A139" s="47"/>
      <c r="B139" s="214"/>
      <c r="C139" s="67"/>
      <c r="D139" s="215"/>
      <c r="E139" s="238"/>
      <c r="F139" s="132"/>
      <c r="G139" s="132"/>
      <c r="H139" s="134" t="s">
        <v>267</v>
      </c>
      <c r="I139" s="154">
        <f>83.402*110%</f>
        <v>91.7422</v>
      </c>
      <c r="J139" s="151">
        <f>8.486+650</f>
        <v>658.486</v>
      </c>
      <c r="K139" s="151"/>
      <c r="L139" s="148">
        <f t="shared" si="117"/>
        <v>20.89887316</v>
      </c>
      <c r="M139" s="148">
        <f t="shared" si="118"/>
        <v>12.66959782</v>
      </c>
      <c r="N139" s="148">
        <f t="shared" si="114"/>
        <v>105.8125505823</v>
      </c>
      <c r="O139" s="148">
        <f t="shared" si="119"/>
        <v>18.34844</v>
      </c>
      <c r="P139" s="148">
        <f t="shared" si="120"/>
        <v>16.55029288</v>
      </c>
      <c r="Q139" s="148">
        <f t="shared" si="121"/>
        <v>93.1904018077839</v>
      </c>
      <c r="R139" s="148">
        <f t="shared" si="122"/>
        <v>1017.69835625008</v>
      </c>
      <c r="S139" s="155"/>
    </row>
    <row r="140" s="22" customFormat="1" spans="1:20">
      <c r="A140" s="47">
        <v>17</v>
      </c>
      <c r="B140" s="212" t="s">
        <v>268</v>
      </c>
      <c r="C140" s="164" t="s">
        <v>269</v>
      </c>
      <c r="D140" s="213" t="s">
        <v>75</v>
      </c>
      <c r="E140" s="236">
        <v>2</v>
      </c>
      <c r="F140" s="111"/>
      <c r="G140" s="111"/>
      <c r="H140" s="237" t="s">
        <v>270</v>
      </c>
      <c r="I140" s="207">
        <f>42.59</f>
        <v>42.59</v>
      </c>
      <c r="J140" s="207">
        <f>0.08</f>
        <v>0.08</v>
      </c>
      <c r="K140" s="151"/>
      <c r="L140" s="148">
        <f t="shared" si="117"/>
        <v>9.702002</v>
      </c>
      <c r="M140" s="148">
        <f t="shared" si="118"/>
        <v>5.881679</v>
      </c>
      <c r="N140" s="148">
        <f t="shared" si="114"/>
        <v>7.864246935</v>
      </c>
      <c r="O140" s="148">
        <f t="shared" si="119"/>
        <v>8.518</v>
      </c>
      <c r="P140" s="148">
        <f t="shared" si="120"/>
        <v>7.683236</v>
      </c>
      <c r="Q140" s="148">
        <f t="shared" si="121"/>
        <v>8.297771724648</v>
      </c>
      <c r="R140" s="148">
        <f t="shared" si="122"/>
        <v>90.616935659648</v>
      </c>
      <c r="S140" s="155">
        <f t="shared" si="123"/>
        <v>806.161592892749</v>
      </c>
      <c r="T140" s="20" t="s">
        <v>81</v>
      </c>
    </row>
    <row r="141" s="22" customFormat="1" ht="39" customHeight="1" spans="1:19">
      <c r="A141" s="47"/>
      <c r="B141" s="214"/>
      <c r="C141" s="67"/>
      <c r="D141" s="215"/>
      <c r="E141" s="238"/>
      <c r="F141" s="132"/>
      <c r="G141" s="132"/>
      <c r="H141" s="134" t="s">
        <v>267</v>
      </c>
      <c r="I141" s="154">
        <f>127.264</f>
        <v>127.264</v>
      </c>
      <c r="J141" s="151">
        <f>62.314+1.01*102+1.01*115+1.01*25+1.01*12+1.01*12+1.01*25</f>
        <v>356.224</v>
      </c>
      <c r="K141" s="151"/>
      <c r="L141" s="148">
        <f t="shared" si="117"/>
        <v>28.9907392</v>
      </c>
      <c r="M141" s="148">
        <f t="shared" si="118"/>
        <v>17.5751584</v>
      </c>
      <c r="N141" s="148">
        <f t="shared" si="114"/>
        <v>71.557276176</v>
      </c>
      <c r="O141" s="148">
        <f t="shared" si="119"/>
        <v>25.4528</v>
      </c>
      <c r="P141" s="148">
        <f t="shared" si="120"/>
        <v>22.9584256</v>
      </c>
      <c r="Q141" s="148">
        <f t="shared" si="121"/>
        <v>65.5222578571008</v>
      </c>
      <c r="R141" s="148">
        <f t="shared" si="122"/>
        <v>715.544657233101</v>
      </c>
      <c r="S141" s="155"/>
    </row>
    <row r="142" s="19" customFormat="1" ht="45" customHeight="1" spans="1:20">
      <c r="A142" s="51">
        <v>18</v>
      </c>
      <c r="B142" s="209" t="s">
        <v>271</v>
      </c>
      <c r="C142" s="36" t="s">
        <v>272</v>
      </c>
      <c r="D142" s="50" t="s">
        <v>75</v>
      </c>
      <c r="E142" s="117">
        <v>1</v>
      </c>
      <c r="F142" s="239"/>
      <c r="G142" s="191"/>
      <c r="H142" s="112" t="s">
        <v>273</v>
      </c>
      <c r="I142" s="20">
        <f>94.127*110%</f>
        <v>103.5397</v>
      </c>
      <c r="J142" s="150">
        <f>(1.122+2.02*27.5+1*736)</f>
        <v>792.672</v>
      </c>
      <c r="K142" s="150"/>
      <c r="L142" s="148">
        <f t="shared" si="117"/>
        <v>23.58634366</v>
      </c>
      <c r="M142" s="148">
        <f t="shared" si="118"/>
        <v>14.29883257</v>
      </c>
      <c r="N142" s="148">
        <f t="shared" si="114"/>
        <v>126.10307829105</v>
      </c>
      <c r="O142" s="148">
        <f t="shared" si="119"/>
        <v>20.70794</v>
      </c>
      <c r="P142" s="148">
        <f t="shared" si="120"/>
        <v>18.67856188</v>
      </c>
      <c r="Q142" s="148">
        <f t="shared" si="121"/>
        <v>110.838314805226</v>
      </c>
      <c r="R142" s="148">
        <f t="shared" si="122"/>
        <v>1210.42477120628</v>
      </c>
      <c r="S142" s="250">
        <f>R142</f>
        <v>1210.42477120628</v>
      </c>
      <c r="T142" s="250"/>
    </row>
    <row r="143" s="19" customFormat="1" ht="38" customHeight="1" spans="1:20">
      <c r="A143" s="51">
        <v>19</v>
      </c>
      <c r="B143" s="53" t="s">
        <v>274</v>
      </c>
      <c r="C143" s="216" t="s">
        <v>275</v>
      </c>
      <c r="D143" s="50" t="s">
        <v>216</v>
      </c>
      <c r="E143" s="138">
        <v>38</v>
      </c>
      <c r="F143" s="138"/>
      <c r="G143" s="138"/>
      <c r="H143" s="112" t="s">
        <v>276</v>
      </c>
      <c r="I143" s="20">
        <f>18.041</f>
        <v>18.041</v>
      </c>
      <c r="J143" s="150">
        <f>(0.181+1.016*20.04+1.225*9.35)</f>
        <v>31.99539</v>
      </c>
      <c r="K143" s="150"/>
      <c r="L143" s="148">
        <f t="shared" si="117"/>
        <v>4.1097398</v>
      </c>
      <c r="M143" s="148">
        <f t="shared" si="118"/>
        <v>2.4914621</v>
      </c>
      <c r="N143" s="148">
        <f t="shared" si="114"/>
        <v>7.6460749065</v>
      </c>
      <c r="O143" s="148">
        <f t="shared" si="119"/>
        <v>3.6082</v>
      </c>
      <c r="P143" s="148">
        <f t="shared" si="120"/>
        <v>3.2545964</v>
      </c>
      <c r="Q143" s="148">
        <f t="shared" si="121"/>
        <v>7.1715634912152</v>
      </c>
      <c r="R143" s="148">
        <f t="shared" si="122"/>
        <v>78.3180266977152</v>
      </c>
      <c r="S143" s="148">
        <f t="shared" si="123"/>
        <v>91.4771307114479</v>
      </c>
      <c r="T143" s="250" t="s">
        <v>277</v>
      </c>
    </row>
    <row r="144" s="22" customFormat="1" ht="32.5" customHeight="1" spans="1:20">
      <c r="A144" s="47">
        <v>20</v>
      </c>
      <c r="B144" s="209" t="s">
        <v>278</v>
      </c>
      <c r="C144" s="66" t="s">
        <v>279</v>
      </c>
      <c r="D144" s="50" t="s">
        <v>216</v>
      </c>
      <c r="E144" s="234">
        <f>3.5*6</f>
        <v>21</v>
      </c>
      <c r="F144" s="116"/>
      <c r="G144" s="116"/>
      <c r="H144" s="112" t="s">
        <v>97</v>
      </c>
      <c r="I144" s="20">
        <f t="shared" ref="I144:I148" si="124">4.9876*110%</f>
        <v>5.48636</v>
      </c>
      <c r="J144" s="150">
        <v>0.5749</v>
      </c>
      <c r="K144" s="150">
        <v>0.5996</v>
      </c>
      <c r="L144" s="148">
        <f t="shared" si="117"/>
        <v>1.2607199184</v>
      </c>
      <c r="M144" s="148">
        <f t="shared" si="118"/>
        <v>0.7642906968</v>
      </c>
      <c r="N144" s="148">
        <f t="shared" si="114"/>
        <v>1.172592533052</v>
      </c>
      <c r="O144" s="148">
        <f t="shared" si="119"/>
        <v>1.097272</v>
      </c>
      <c r="P144" s="148">
        <f t="shared" si="120"/>
        <v>0.9983927712</v>
      </c>
      <c r="Q144" s="148">
        <f t="shared" si="121"/>
        <v>1.20497609428076</v>
      </c>
      <c r="R144" s="148">
        <f t="shared" si="122"/>
        <v>13.1591040137328</v>
      </c>
      <c r="S144" s="155">
        <f t="shared" ref="S144:S148" si="125">R144+R145</f>
        <v>79.1289025255018</v>
      </c>
      <c r="T144" s="154" t="s">
        <v>254</v>
      </c>
    </row>
    <row r="145" s="22" customFormat="1" ht="32.5" customHeight="1" spans="1:20">
      <c r="A145" s="47"/>
      <c r="B145" s="209"/>
      <c r="C145" s="66"/>
      <c r="D145" s="50"/>
      <c r="E145" s="234"/>
      <c r="F145" s="116"/>
      <c r="G145" s="116"/>
      <c r="H145" s="134" t="s">
        <v>280</v>
      </c>
      <c r="I145" s="154">
        <f>20.058*110%</f>
        <v>22.0638</v>
      </c>
      <c r="J145" s="151">
        <f>0.27+0.69*10+1.012*8</f>
        <v>15.266</v>
      </c>
      <c r="K145" s="151">
        <v>0.003</v>
      </c>
      <c r="L145" s="148">
        <f t="shared" ref="L145:L154" si="126">(I145+K145*8%)*22.78%</f>
        <v>5.026188312</v>
      </c>
      <c r="M145" s="148">
        <f t="shared" ref="M145:M154" si="127">(I145+K145*8%)*13.81%</f>
        <v>3.047043924</v>
      </c>
      <c r="N145" s="148">
        <f t="shared" si="114"/>
        <v>6.12981435186</v>
      </c>
      <c r="O145" s="148">
        <f t="shared" ref="O145:O154" si="128">I145*20%</f>
        <v>4.41276</v>
      </c>
      <c r="P145" s="148">
        <f t="shared" ref="P145:P154" si="129">(I145+K145*8%)*18.04%</f>
        <v>3.980352816</v>
      </c>
      <c r="Q145" s="148">
        <f t="shared" ref="Q145:Q154" si="130">(I145+J145+K145+L145+M145+N145+O145+P145)*9%*(1+12%)</f>
        <v>6.04083910790909</v>
      </c>
      <c r="R145" s="148">
        <f t="shared" ref="R145:R154" si="131">I145+J145+K145+L145+M145+N145+O145+P145+Q145</f>
        <v>65.9697985117691</v>
      </c>
      <c r="S145" s="155"/>
      <c r="T145" s="154"/>
    </row>
    <row r="146" s="22" customFormat="1" ht="30" customHeight="1" spans="1:20">
      <c r="A146" s="47">
        <v>21</v>
      </c>
      <c r="B146" s="217" t="s">
        <v>278</v>
      </c>
      <c r="C146" s="164" t="s">
        <v>281</v>
      </c>
      <c r="D146" s="40" t="s">
        <v>216</v>
      </c>
      <c r="E146" s="240">
        <f>36.3*2</f>
        <v>72.6</v>
      </c>
      <c r="F146" s="111"/>
      <c r="G146" s="111"/>
      <c r="H146" s="112" t="s">
        <v>97</v>
      </c>
      <c r="I146" s="20">
        <f t="shared" si="124"/>
        <v>5.48636</v>
      </c>
      <c r="J146" s="150">
        <v>0.5749</v>
      </c>
      <c r="K146" s="150">
        <v>0.5996</v>
      </c>
      <c r="L146" s="148">
        <f t="shared" si="126"/>
        <v>1.2607199184</v>
      </c>
      <c r="M146" s="148">
        <f t="shared" si="127"/>
        <v>0.7642906968</v>
      </c>
      <c r="N146" s="148">
        <f t="shared" si="114"/>
        <v>1.172592533052</v>
      </c>
      <c r="O146" s="148">
        <f t="shared" si="128"/>
        <v>1.097272</v>
      </c>
      <c r="P146" s="148">
        <f t="shared" si="129"/>
        <v>0.9983927712</v>
      </c>
      <c r="Q146" s="148">
        <f t="shared" si="130"/>
        <v>1.20497609428076</v>
      </c>
      <c r="R146" s="148">
        <f t="shared" si="131"/>
        <v>13.1591040137328</v>
      </c>
      <c r="S146" s="155">
        <f t="shared" si="125"/>
        <v>119.843915014018</v>
      </c>
      <c r="T146" s="154" t="s">
        <v>254</v>
      </c>
    </row>
    <row r="147" s="22" customFormat="1" ht="30" customHeight="1" spans="1:20">
      <c r="A147" s="47"/>
      <c r="B147" s="218"/>
      <c r="C147" s="67"/>
      <c r="D147" s="46"/>
      <c r="E147" s="241"/>
      <c r="F147" s="132"/>
      <c r="G147" s="132"/>
      <c r="H147" s="134" t="s">
        <v>282</v>
      </c>
      <c r="I147" s="154">
        <f>29.935*110%</f>
        <v>32.9285</v>
      </c>
      <c r="J147" s="151">
        <f>0.784+1.156*15+0.95*11.84</f>
        <v>29.372</v>
      </c>
      <c r="K147" s="151">
        <v>0.003</v>
      </c>
      <c r="L147" s="148">
        <f t="shared" si="126"/>
        <v>7.501166972</v>
      </c>
      <c r="M147" s="148">
        <f t="shared" si="127"/>
        <v>4.547458994</v>
      </c>
      <c r="N147" s="148">
        <f t="shared" si="114"/>
        <v>10.03753700541</v>
      </c>
      <c r="O147" s="148">
        <f t="shared" si="128"/>
        <v>6.5857</v>
      </c>
      <c r="P147" s="148">
        <f t="shared" si="129"/>
        <v>5.940344696</v>
      </c>
      <c r="Q147" s="148">
        <f t="shared" si="130"/>
        <v>9.76910333287493</v>
      </c>
      <c r="R147" s="148">
        <f t="shared" si="131"/>
        <v>106.684811000285</v>
      </c>
      <c r="S147" s="155"/>
      <c r="T147" s="154" t="s">
        <v>283</v>
      </c>
    </row>
    <row r="148" s="19" customFormat="1" ht="10.7" spans="1:16384">
      <c r="A148" s="50">
        <v>22</v>
      </c>
      <c r="B148" s="217" t="s">
        <v>278</v>
      </c>
      <c r="C148" s="164" t="s">
        <v>284</v>
      </c>
      <c r="D148" s="40" t="s">
        <v>216</v>
      </c>
      <c r="E148" s="240">
        <v>37.6</v>
      </c>
      <c r="F148" s="111"/>
      <c r="G148" s="111"/>
      <c r="H148" s="112" t="s">
        <v>97</v>
      </c>
      <c r="I148" s="20">
        <f t="shared" si="124"/>
        <v>5.48636</v>
      </c>
      <c r="J148" s="150">
        <v>0.5749</v>
      </c>
      <c r="K148" s="150">
        <v>0.5996</v>
      </c>
      <c r="L148" s="148">
        <f t="shared" si="126"/>
        <v>1.2607199184</v>
      </c>
      <c r="M148" s="148">
        <f t="shared" si="127"/>
        <v>0.7642906968</v>
      </c>
      <c r="N148" s="148">
        <f t="shared" si="114"/>
        <v>1.172592533052</v>
      </c>
      <c r="O148" s="148">
        <f t="shared" si="128"/>
        <v>1.097272</v>
      </c>
      <c r="P148" s="148">
        <f t="shared" si="129"/>
        <v>0.9983927712</v>
      </c>
      <c r="Q148" s="148">
        <f t="shared" si="130"/>
        <v>1.20497609428076</v>
      </c>
      <c r="R148" s="148">
        <f t="shared" si="131"/>
        <v>13.1591040137328</v>
      </c>
      <c r="S148" s="21">
        <f t="shared" si="125"/>
        <v>96.4142087460817</v>
      </c>
      <c r="T148" s="19" t="s">
        <v>30</v>
      </c>
      <c r="XDY148" s="21"/>
      <c r="XDZ148" s="21"/>
      <c r="XEA148" s="21"/>
      <c r="XEB148" s="21"/>
      <c r="XEC148" s="21"/>
      <c r="XED148" s="21"/>
      <c r="XEE148" s="21"/>
      <c r="XEF148" s="21"/>
      <c r="XEG148" s="21"/>
      <c r="XEH148" s="21"/>
      <c r="XEI148" s="21"/>
      <c r="XEJ148" s="21"/>
      <c r="XEK148" s="21"/>
      <c r="XEL148" s="21"/>
      <c r="XEM148" s="21"/>
      <c r="XEN148" s="21"/>
      <c r="XEO148" s="21"/>
      <c r="XEP148" s="21"/>
      <c r="XEQ148" s="21"/>
      <c r="XER148" s="21"/>
      <c r="XES148" s="21"/>
      <c r="XET148" s="21"/>
      <c r="XEU148" s="21"/>
      <c r="XEV148" s="21"/>
      <c r="XEW148" s="21"/>
      <c r="XEX148" s="21"/>
      <c r="XEY148" s="21"/>
      <c r="XEZ148" s="21"/>
      <c r="XFA148" s="21"/>
      <c r="XFB148" s="21"/>
      <c r="XFC148" s="21"/>
      <c r="XFD148" s="21"/>
    </row>
    <row r="149" s="19" customFormat="1" ht="22" customHeight="1" spans="1:16384">
      <c r="A149" s="50"/>
      <c r="B149" s="218"/>
      <c r="C149" s="67"/>
      <c r="D149" s="46"/>
      <c r="E149" s="241"/>
      <c r="F149" s="132"/>
      <c r="G149" s="132"/>
      <c r="H149" s="134" t="s">
        <v>285</v>
      </c>
      <c r="I149" s="154">
        <v>26.861</v>
      </c>
      <c r="J149" s="151">
        <f>0.488+0.885*6.5+0.98*15</f>
        <v>20.9405</v>
      </c>
      <c r="K149" s="151">
        <v>0.003</v>
      </c>
      <c r="L149" s="148">
        <f t="shared" si="126"/>
        <v>6.118990472</v>
      </c>
      <c r="M149" s="148">
        <f t="shared" si="127"/>
        <v>3.709537244</v>
      </c>
      <c r="N149" s="148">
        <f t="shared" si="114"/>
        <v>7.78045874166</v>
      </c>
      <c r="O149" s="148">
        <f t="shared" si="128"/>
        <v>5.3722</v>
      </c>
      <c r="P149" s="148">
        <f t="shared" si="129"/>
        <v>4.845767696</v>
      </c>
      <c r="Q149" s="148">
        <f t="shared" si="130"/>
        <v>7.62365057868893</v>
      </c>
      <c r="R149" s="148">
        <f t="shared" si="131"/>
        <v>83.2551047323489</v>
      </c>
      <c r="S149" s="21"/>
      <c r="XDY149" s="21"/>
      <c r="XDZ149" s="21"/>
      <c r="XEA149" s="21"/>
      <c r="XEB149" s="21"/>
      <c r="XEC149" s="21"/>
      <c r="XED149" s="21"/>
      <c r="XEE149" s="21"/>
      <c r="XEF149" s="21"/>
      <c r="XEG149" s="21"/>
      <c r="XEH149" s="21"/>
      <c r="XEI149" s="21"/>
      <c r="XEJ149" s="21"/>
      <c r="XEK149" s="21"/>
      <c r="XEL149" s="21"/>
      <c r="XEM149" s="21"/>
      <c r="XEN149" s="21"/>
      <c r="XEO149" s="21"/>
      <c r="XEP149" s="21"/>
      <c r="XEQ149" s="21"/>
      <c r="XER149" s="21"/>
      <c r="XES149" s="21"/>
      <c r="XET149" s="21"/>
      <c r="XEU149" s="21"/>
      <c r="XEV149" s="21"/>
      <c r="XEW149" s="21"/>
      <c r="XEX149" s="21"/>
      <c r="XEY149" s="21"/>
      <c r="XEZ149" s="21"/>
      <c r="XFA149" s="21"/>
      <c r="XFB149" s="21"/>
      <c r="XFC149" s="21"/>
      <c r="XFD149" s="21"/>
    </row>
    <row r="150" s="19" customFormat="1" ht="35" customHeight="1" spans="1:16384">
      <c r="A150" s="50">
        <v>23</v>
      </c>
      <c r="B150" s="210" t="s">
        <v>286</v>
      </c>
      <c r="C150" s="66" t="s">
        <v>287</v>
      </c>
      <c r="D150" s="211" t="s">
        <v>243</v>
      </c>
      <c r="E150" s="242">
        <v>19</v>
      </c>
      <c r="F150" s="116"/>
      <c r="G150" s="234"/>
      <c r="H150" s="144" t="s">
        <v>288</v>
      </c>
      <c r="I150" s="154">
        <v>13.61</v>
      </c>
      <c r="J150" s="151">
        <f>3+1.01*35+0.05*35+1.01*25+0.808*32</f>
        <v>91.206</v>
      </c>
      <c r="K150" s="151">
        <v>1.33</v>
      </c>
      <c r="L150" s="148">
        <f t="shared" si="126"/>
        <v>3.12459592</v>
      </c>
      <c r="M150" s="148">
        <f t="shared" si="127"/>
        <v>1.89423484</v>
      </c>
      <c r="N150" s="148">
        <f>(I150+J150+K150+L150+M150)*3.5%</f>
        <v>3.8907690766</v>
      </c>
      <c r="O150" s="148">
        <f t="shared" si="128"/>
        <v>2.722</v>
      </c>
      <c r="P150" s="148">
        <f t="shared" si="129"/>
        <v>2.47443856</v>
      </c>
      <c r="Q150" s="148">
        <f t="shared" si="130"/>
        <v>12.1214054703773</v>
      </c>
      <c r="R150" s="148">
        <f t="shared" si="131"/>
        <v>132.373443866977</v>
      </c>
      <c r="S150" s="21"/>
      <c r="XDY150" s="21"/>
      <c r="XDZ150" s="21"/>
      <c r="XEA150" s="21"/>
      <c r="XEB150" s="21"/>
      <c r="XEC150" s="21"/>
      <c r="XED150" s="21"/>
      <c r="XEE150" s="21"/>
      <c r="XEF150" s="21"/>
      <c r="XEG150" s="21"/>
      <c r="XEH150" s="21"/>
      <c r="XEI150" s="21"/>
      <c r="XEJ150" s="21"/>
      <c r="XEK150" s="21"/>
      <c r="XEL150" s="21"/>
      <c r="XEM150" s="21"/>
      <c r="XEN150" s="21"/>
      <c r="XEO150" s="21"/>
      <c r="XEP150" s="21"/>
      <c r="XEQ150" s="21"/>
      <c r="XER150" s="21"/>
      <c r="XES150" s="21"/>
      <c r="XET150" s="21"/>
      <c r="XEU150" s="21"/>
      <c r="XEV150" s="21"/>
      <c r="XEW150" s="21"/>
      <c r="XEX150" s="21"/>
      <c r="XEY150" s="21"/>
      <c r="XEZ150" s="21"/>
      <c r="XFA150" s="21"/>
      <c r="XFB150" s="21"/>
      <c r="XFC150" s="21"/>
      <c r="XFD150" s="21"/>
    </row>
    <row r="151" s="19" customFormat="1" ht="29" customHeight="1" spans="1:16384">
      <c r="A151" s="50">
        <v>24</v>
      </c>
      <c r="B151" s="219" t="s">
        <v>289</v>
      </c>
      <c r="C151" s="220" t="s">
        <v>290</v>
      </c>
      <c r="D151" s="221" t="s">
        <v>243</v>
      </c>
      <c r="E151" s="138">
        <f>17</f>
        <v>17</v>
      </c>
      <c r="F151" s="116"/>
      <c r="G151" s="116"/>
      <c r="H151" s="124" t="s">
        <v>291</v>
      </c>
      <c r="I151" s="154">
        <f>30.831*110%</f>
        <v>33.9141</v>
      </c>
      <c r="J151" s="151">
        <v>2.765</v>
      </c>
      <c r="K151" s="151"/>
      <c r="L151" s="148">
        <f t="shared" si="126"/>
        <v>7.72563198</v>
      </c>
      <c r="M151" s="148">
        <f t="shared" si="127"/>
        <v>4.68353721</v>
      </c>
      <c r="N151" s="148">
        <f t="shared" ref="N151:N154" si="132">(I151+J151+K151+L151+M151)*13.5%</f>
        <v>6.62691634065</v>
      </c>
      <c r="O151" s="148">
        <f t="shared" si="128"/>
        <v>6.78282</v>
      </c>
      <c r="P151" s="148">
        <f t="shared" si="129"/>
        <v>6.11810364</v>
      </c>
      <c r="Q151" s="148">
        <f t="shared" si="130"/>
        <v>6.91650380440152</v>
      </c>
      <c r="R151" s="148">
        <f t="shared" si="131"/>
        <v>75.5326129750515</v>
      </c>
      <c r="S151" s="148"/>
      <c r="XDY151" s="21"/>
      <c r="XDZ151" s="21"/>
      <c r="XEA151" s="21"/>
      <c r="XEB151" s="21"/>
      <c r="XEC151" s="21"/>
      <c r="XED151" s="21"/>
      <c r="XEE151" s="21"/>
      <c r="XEF151" s="21"/>
      <c r="XEG151" s="21"/>
      <c r="XEH151" s="21"/>
      <c r="XEI151" s="21"/>
      <c r="XEJ151" s="21"/>
      <c r="XEK151" s="21"/>
      <c r="XEL151" s="21"/>
      <c r="XEM151" s="21"/>
      <c r="XEN151" s="21"/>
      <c r="XEO151" s="21"/>
      <c r="XEP151" s="21"/>
      <c r="XEQ151" s="21"/>
      <c r="XER151" s="21"/>
      <c r="XES151" s="21"/>
      <c r="XET151" s="21"/>
      <c r="XEU151" s="21"/>
      <c r="XEV151" s="21"/>
      <c r="XEW151" s="21"/>
      <c r="XEX151" s="21"/>
      <c r="XEY151" s="21"/>
      <c r="XEZ151" s="21"/>
      <c r="XFA151" s="21"/>
      <c r="XFB151" s="21"/>
      <c r="XFC151" s="21"/>
      <c r="XFD151" s="21"/>
    </row>
    <row r="152" s="19" customFormat="1" ht="42" customHeight="1" spans="1:16384">
      <c r="A152" s="50">
        <v>25</v>
      </c>
      <c r="B152" s="219" t="s">
        <v>292</v>
      </c>
      <c r="C152" s="220" t="s">
        <v>293</v>
      </c>
      <c r="D152" s="221" t="s">
        <v>243</v>
      </c>
      <c r="E152" s="138">
        <f>17</f>
        <v>17</v>
      </c>
      <c r="F152" s="116"/>
      <c r="G152" s="116"/>
      <c r="H152" s="124" t="s">
        <v>294</v>
      </c>
      <c r="I152" s="154">
        <f>4.338*110%</f>
        <v>4.7718</v>
      </c>
      <c r="J152" s="151">
        <v>9.197</v>
      </c>
      <c r="K152" s="151"/>
      <c r="L152" s="148">
        <f t="shared" si="126"/>
        <v>1.08701604</v>
      </c>
      <c r="M152" s="148">
        <f t="shared" si="127"/>
        <v>0.65898558</v>
      </c>
      <c r="N152" s="148">
        <f t="shared" si="132"/>
        <v>2.1214982187</v>
      </c>
      <c r="O152" s="148">
        <f t="shared" si="128"/>
        <v>0.95436</v>
      </c>
      <c r="P152" s="148">
        <f t="shared" si="129"/>
        <v>0.86083272</v>
      </c>
      <c r="Q152" s="148">
        <f t="shared" si="130"/>
        <v>1.98087044991696</v>
      </c>
      <c r="R152" s="148">
        <f t="shared" si="131"/>
        <v>21.632363008617</v>
      </c>
      <c r="S152" s="148"/>
      <c r="XDY152" s="21"/>
      <c r="XDZ152" s="21"/>
      <c r="XEA152" s="21"/>
      <c r="XEB152" s="21"/>
      <c r="XEC152" s="21"/>
      <c r="XED152" s="21"/>
      <c r="XEE152" s="21"/>
      <c r="XEF152" s="21"/>
      <c r="XEG152" s="21"/>
      <c r="XEH152" s="21"/>
      <c r="XEI152" s="21"/>
      <c r="XEJ152" s="21"/>
      <c r="XEK152" s="21"/>
      <c r="XEL152" s="21"/>
      <c r="XEM152" s="21"/>
      <c r="XEN152" s="21"/>
      <c r="XEO152" s="21"/>
      <c r="XEP152" s="21"/>
      <c r="XEQ152" s="21"/>
      <c r="XER152" s="21"/>
      <c r="XES152" s="21"/>
      <c r="XET152" s="21"/>
      <c r="XEU152" s="21"/>
      <c r="XEV152" s="21"/>
      <c r="XEW152" s="21"/>
      <c r="XEX152" s="21"/>
      <c r="XEY152" s="21"/>
      <c r="XEZ152" s="21"/>
      <c r="XFA152" s="21"/>
      <c r="XFB152" s="21"/>
      <c r="XFC152" s="21"/>
      <c r="XFD152" s="21"/>
    </row>
    <row r="153" s="19" customFormat="1" ht="64.55" spans="1:16384">
      <c r="A153" s="50">
        <v>26</v>
      </c>
      <c r="B153" s="222" t="s">
        <v>295</v>
      </c>
      <c r="C153" s="36" t="s">
        <v>296</v>
      </c>
      <c r="D153" s="50" t="s">
        <v>27</v>
      </c>
      <c r="E153" s="243">
        <f>1.3*0.8*9</f>
        <v>9.36</v>
      </c>
      <c r="F153" s="116"/>
      <c r="G153" s="234"/>
      <c r="H153" s="134" t="s">
        <v>297</v>
      </c>
      <c r="I153" s="20">
        <v>79.04</v>
      </c>
      <c r="J153" s="150">
        <v>184.99</v>
      </c>
      <c r="K153" s="150"/>
      <c r="L153" s="148">
        <f t="shared" si="126"/>
        <v>18.005312</v>
      </c>
      <c r="M153" s="148">
        <f t="shared" si="127"/>
        <v>10.915424</v>
      </c>
      <c r="N153" s="148">
        <f t="shared" si="132"/>
        <v>39.54834936</v>
      </c>
      <c r="O153" s="148">
        <f t="shared" si="128"/>
        <v>15.808</v>
      </c>
      <c r="P153" s="148">
        <f t="shared" si="129"/>
        <v>14.258816</v>
      </c>
      <c r="Q153" s="148">
        <f t="shared" si="130"/>
        <v>36.546642857088</v>
      </c>
      <c r="R153" s="148">
        <f t="shared" si="131"/>
        <v>399.112544217088</v>
      </c>
      <c r="XDY153" s="21"/>
      <c r="XDZ153" s="21"/>
      <c r="XEA153" s="21"/>
      <c r="XEB153" s="21"/>
      <c r="XEC153" s="21"/>
      <c r="XED153" s="21"/>
      <c r="XEE153" s="21"/>
      <c r="XEF153" s="21"/>
      <c r="XEG153" s="21"/>
      <c r="XEH153" s="21"/>
      <c r="XEI153" s="21"/>
      <c r="XEJ153" s="21"/>
      <c r="XEK153" s="21"/>
      <c r="XEL153" s="21"/>
      <c r="XEM153" s="21"/>
      <c r="XEN153" s="21"/>
      <c r="XEO153" s="21"/>
      <c r="XEP153" s="21"/>
      <c r="XEQ153" s="21"/>
      <c r="XER153" s="21"/>
      <c r="XES153" s="21"/>
      <c r="XET153" s="21"/>
      <c r="XEU153" s="21"/>
      <c r="XEV153" s="21"/>
      <c r="XEW153" s="21"/>
      <c r="XEX153" s="21"/>
      <c r="XEY153" s="21"/>
      <c r="XEZ153" s="21"/>
      <c r="XFA153" s="21"/>
      <c r="XFB153" s="21"/>
      <c r="XFC153" s="21"/>
      <c r="XFD153" s="21"/>
    </row>
    <row r="154" s="19" customFormat="1" ht="45" customHeight="1" spans="1:20">
      <c r="A154" s="51">
        <v>27</v>
      </c>
      <c r="B154" s="220" t="s">
        <v>298</v>
      </c>
      <c r="C154" s="223" t="s">
        <v>299</v>
      </c>
      <c r="D154" s="224" t="s">
        <v>75</v>
      </c>
      <c r="E154" s="244">
        <v>8</v>
      </c>
      <c r="F154" s="191"/>
      <c r="G154" s="191"/>
      <c r="H154" s="245" t="s">
        <v>300</v>
      </c>
      <c r="I154" s="207">
        <f>24.172*110%</f>
        <v>26.5892</v>
      </c>
      <c r="J154" s="249">
        <f>0.095+1.01*45</f>
        <v>45.545</v>
      </c>
      <c r="K154" s="150"/>
      <c r="L154" s="148">
        <f t="shared" si="126"/>
        <v>6.05701976</v>
      </c>
      <c r="M154" s="148">
        <f t="shared" si="127"/>
        <v>3.67196852</v>
      </c>
      <c r="N154" s="148">
        <f t="shared" si="132"/>
        <v>11.0515304178</v>
      </c>
      <c r="O154" s="148">
        <f t="shared" si="128"/>
        <v>5.31784</v>
      </c>
      <c r="P154" s="148">
        <f t="shared" si="129"/>
        <v>4.79669168</v>
      </c>
      <c r="Q154" s="148">
        <f t="shared" si="130"/>
        <v>10.3853484380822</v>
      </c>
      <c r="R154" s="148">
        <f t="shared" si="131"/>
        <v>113.414598815882</v>
      </c>
      <c r="S154" s="148">
        <f>R154</f>
        <v>113.414598815882</v>
      </c>
      <c r="T154" s="159" t="s">
        <v>301</v>
      </c>
    </row>
    <row r="155" s="19" customFormat="1" ht="45" customHeight="1" spans="1:20">
      <c r="A155" s="225" t="s">
        <v>302</v>
      </c>
      <c r="B155" s="226" t="s">
        <v>303</v>
      </c>
      <c r="C155" s="227" t="s">
        <v>304</v>
      </c>
      <c r="D155" s="228" t="s">
        <v>24</v>
      </c>
      <c r="E155" s="246">
        <v>1</v>
      </c>
      <c r="F155" s="247">
        <v>60000</v>
      </c>
      <c r="G155" s="247"/>
      <c r="H155" s="245"/>
      <c r="I155" s="207"/>
      <c r="J155" s="249"/>
      <c r="K155" s="150"/>
      <c r="L155" s="148"/>
      <c r="M155" s="148"/>
      <c r="N155" s="148"/>
      <c r="O155" s="148"/>
      <c r="P155" s="148"/>
      <c r="Q155" s="148"/>
      <c r="R155" s="148"/>
      <c r="S155" s="148"/>
      <c r="T155" s="159"/>
    </row>
    <row r="156" s="19" customFormat="1" ht="30" customHeight="1" spans="1:16384">
      <c r="A156" s="225" t="s">
        <v>305</v>
      </c>
      <c r="B156" s="229" t="s">
        <v>306</v>
      </c>
      <c r="C156" s="230" t="s">
        <v>307</v>
      </c>
      <c r="D156" s="231" t="s">
        <v>24</v>
      </c>
      <c r="E156" s="248"/>
      <c r="F156" s="248"/>
      <c r="G156" s="109"/>
      <c r="H156" s="75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XDY156" s="21"/>
      <c r="XDZ156" s="21"/>
      <c r="XEA156" s="21"/>
      <c r="XEB156" s="21"/>
      <c r="XEC156" s="21"/>
      <c r="XED156" s="21"/>
      <c r="XEE156" s="21"/>
      <c r="XEF156" s="21"/>
      <c r="XEG156" s="21"/>
      <c r="XEH156" s="21"/>
      <c r="XEI156" s="21"/>
      <c r="XEJ156" s="21"/>
      <c r="XEK156" s="21"/>
      <c r="XEL156" s="21"/>
      <c r="XEM156" s="21"/>
      <c r="XEN156" s="21"/>
      <c r="XEO156" s="21"/>
      <c r="XEP156" s="21"/>
      <c r="XEQ156" s="21"/>
      <c r="XER156" s="21"/>
      <c r="XES156" s="21"/>
      <c r="XET156" s="21"/>
      <c r="XEU156" s="21"/>
      <c r="XEV156" s="21"/>
      <c r="XEW156" s="21"/>
      <c r="XEX156" s="21"/>
      <c r="XEY156" s="21"/>
      <c r="XEZ156" s="21"/>
      <c r="XFA156" s="21"/>
      <c r="XFB156" s="21"/>
      <c r="XFC156" s="21"/>
      <c r="XFD156" s="21"/>
    </row>
    <row r="157" s="19" customFormat="1" ht="84" customHeight="1" spans="1:19">
      <c r="A157" s="232"/>
      <c r="B157" s="233" t="s">
        <v>308</v>
      </c>
      <c r="C157" s="233"/>
      <c r="D157" s="233"/>
      <c r="E157" s="233"/>
      <c r="F157" s="233"/>
      <c r="G157" s="233"/>
      <c r="H157" s="75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</row>
  </sheetData>
  <mergeCells count="371">
    <mergeCell ref="A1:G1"/>
    <mergeCell ref="B157:G157"/>
    <mergeCell ref="A4:A6"/>
    <mergeCell ref="A7:A9"/>
    <mergeCell ref="A10:A11"/>
    <mergeCell ref="A14:A15"/>
    <mergeCell ref="A16:A17"/>
    <mergeCell ref="A18:A19"/>
    <mergeCell ref="A20:A21"/>
    <mergeCell ref="A22:A23"/>
    <mergeCell ref="A26:A27"/>
    <mergeCell ref="A30:A31"/>
    <mergeCell ref="A34:A37"/>
    <mergeCell ref="A38:A41"/>
    <mergeCell ref="A42:A45"/>
    <mergeCell ref="A46:A48"/>
    <mergeCell ref="A49:A51"/>
    <mergeCell ref="A52:A55"/>
    <mergeCell ref="A58:A60"/>
    <mergeCell ref="A61:A63"/>
    <mergeCell ref="A64:A66"/>
    <mergeCell ref="A67:A69"/>
    <mergeCell ref="A70:A71"/>
    <mergeCell ref="A72:A74"/>
    <mergeCell ref="A75:A77"/>
    <mergeCell ref="A78:A80"/>
    <mergeCell ref="A81:A84"/>
    <mergeCell ref="A85:A86"/>
    <mergeCell ref="A87:A88"/>
    <mergeCell ref="A89:A90"/>
    <mergeCell ref="A91:A93"/>
    <mergeCell ref="A94:A96"/>
    <mergeCell ref="A97:A99"/>
    <mergeCell ref="A100:A102"/>
    <mergeCell ref="A104:A106"/>
    <mergeCell ref="A107:A108"/>
    <mergeCell ref="A109:A110"/>
    <mergeCell ref="A111:A112"/>
    <mergeCell ref="A118:A119"/>
    <mergeCell ref="A127:A128"/>
    <mergeCell ref="A130:A131"/>
    <mergeCell ref="A132:A133"/>
    <mergeCell ref="A134:A135"/>
    <mergeCell ref="A138:A139"/>
    <mergeCell ref="A140:A141"/>
    <mergeCell ref="A144:A145"/>
    <mergeCell ref="A146:A147"/>
    <mergeCell ref="A148:A149"/>
    <mergeCell ref="B4:B6"/>
    <mergeCell ref="B7:B9"/>
    <mergeCell ref="B10:B11"/>
    <mergeCell ref="B14:B15"/>
    <mergeCell ref="B16:B17"/>
    <mergeCell ref="B18:B19"/>
    <mergeCell ref="B20:B21"/>
    <mergeCell ref="B22:B23"/>
    <mergeCell ref="B26:B27"/>
    <mergeCell ref="B30:B31"/>
    <mergeCell ref="B34:B37"/>
    <mergeCell ref="B38:B41"/>
    <mergeCell ref="B42:B45"/>
    <mergeCell ref="B46:B48"/>
    <mergeCell ref="B49:B51"/>
    <mergeCell ref="B52:B55"/>
    <mergeCell ref="B58:B60"/>
    <mergeCell ref="B61:B63"/>
    <mergeCell ref="B64:B66"/>
    <mergeCell ref="B67:B69"/>
    <mergeCell ref="B70:B71"/>
    <mergeCell ref="B72:B74"/>
    <mergeCell ref="B75:B77"/>
    <mergeCell ref="B78:B80"/>
    <mergeCell ref="B81:B84"/>
    <mergeCell ref="B85:B86"/>
    <mergeCell ref="B87:B88"/>
    <mergeCell ref="B89:B90"/>
    <mergeCell ref="B91:B93"/>
    <mergeCell ref="B94:B96"/>
    <mergeCell ref="B97:B99"/>
    <mergeCell ref="B100:B102"/>
    <mergeCell ref="B104:B106"/>
    <mergeCell ref="B107:B108"/>
    <mergeCell ref="B109:B110"/>
    <mergeCell ref="B111:B112"/>
    <mergeCell ref="B118:B119"/>
    <mergeCell ref="B127:B128"/>
    <mergeCell ref="B130:B131"/>
    <mergeCell ref="B132:B133"/>
    <mergeCell ref="B134:B135"/>
    <mergeCell ref="B138:B139"/>
    <mergeCell ref="B140:B141"/>
    <mergeCell ref="B144:B145"/>
    <mergeCell ref="B146:B147"/>
    <mergeCell ref="B148:B149"/>
    <mergeCell ref="C4:C6"/>
    <mergeCell ref="C7:C9"/>
    <mergeCell ref="C10:C11"/>
    <mergeCell ref="C14:C15"/>
    <mergeCell ref="C16:C17"/>
    <mergeCell ref="C18:C19"/>
    <mergeCell ref="C20:C21"/>
    <mergeCell ref="C22:C23"/>
    <mergeCell ref="C26:C27"/>
    <mergeCell ref="C30:C31"/>
    <mergeCell ref="C34:C37"/>
    <mergeCell ref="C38:C41"/>
    <mergeCell ref="C42:C45"/>
    <mergeCell ref="C46:C48"/>
    <mergeCell ref="C49:C51"/>
    <mergeCell ref="C52:C55"/>
    <mergeCell ref="C58:C60"/>
    <mergeCell ref="C61:C63"/>
    <mergeCell ref="C64:C66"/>
    <mergeCell ref="C67:C69"/>
    <mergeCell ref="C70:C71"/>
    <mergeCell ref="C72:C74"/>
    <mergeCell ref="C75:C77"/>
    <mergeCell ref="C78:C80"/>
    <mergeCell ref="C81:C84"/>
    <mergeCell ref="C85:C86"/>
    <mergeCell ref="C87:C88"/>
    <mergeCell ref="C89:C90"/>
    <mergeCell ref="C91:C93"/>
    <mergeCell ref="C94:C96"/>
    <mergeCell ref="C97:C99"/>
    <mergeCell ref="C100:C102"/>
    <mergeCell ref="C104:C106"/>
    <mergeCell ref="C107:C108"/>
    <mergeCell ref="C109:C110"/>
    <mergeCell ref="C111:C112"/>
    <mergeCell ref="C118:C119"/>
    <mergeCell ref="C127:C128"/>
    <mergeCell ref="C130:C131"/>
    <mergeCell ref="C132:C133"/>
    <mergeCell ref="C134:C135"/>
    <mergeCell ref="C138:C139"/>
    <mergeCell ref="C140:C141"/>
    <mergeCell ref="C144:C145"/>
    <mergeCell ref="C146:C147"/>
    <mergeCell ref="C148:C149"/>
    <mergeCell ref="D4:D6"/>
    <mergeCell ref="D7:D9"/>
    <mergeCell ref="D10:D11"/>
    <mergeCell ref="D14:D15"/>
    <mergeCell ref="D16:D17"/>
    <mergeCell ref="D18:D19"/>
    <mergeCell ref="D20:D21"/>
    <mergeCell ref="D22:D23"/>
    <mergeCell ref="D26:D27"/>
    <mergeCell ref="D30:D31"/>
    <mergeCell ref="D34:D37"/>
    <mergeCell ref="D38:D41"/>
    <mergeCell ref="D42:D45"/>
    <mergeCell ref="D46:D48"/>
    <mergeCell ref="D49:D51"/>
    <mergeCell ref="D52:D55"/>
    <mergeCell ref="D58:D60"/>
    <mergeCell ref="D61:D63"/>
    <mergeCell ref="D64:D66"/>
    <mergeCell ref="D67:D69"/>
    <mergeCell ref="D70:D71"/>
    <mergeCell ref="D72:D74"/>
    <mergeCell ref="D75:D77"/>
    <mergeCell ref="D78:D80"/>
    <mergeCell ref="D81:D84"/>
    <mergeCell ref="D85:D86"/>
    <mergeCell ref="D87:D88"/>
    <mergeCell ref="D89:D90"/>
    <mergeCell ref="D91:D93"/>
    <mergeCell ref="D94:D96"/>
    <mergeCell ref="D97:D99"/>
    <mergeCell ref="D100:D102"/>
    <mergeCell ref="D104:D106"/>
    <mergeCell ref="D107:D108"/>
    <mergeCell ref="D109:D110"/>
    <mergeCell ref="D111:D112"/>
    <mergeCell ref="D118:D119"/>
    <mergeCell ref="D127:D128"/>
    <mergeCell ref="D130:D131"/>
    <mergeCell ref="D132:D133"/>
    <mergeCell ref="D134:D135"/>
    <mergeCell ref="D138:D139"/>
    <mergeCell ref="D140:D141"/>
    <mergeCell ref="D144:D145"/>
    <mergeCell ref="D146:D147"/>
    <mergeCell ref="D148:D149"/>
    <mergeCell ref="E4:E6"/>
    <mergeCell ref="E7:E9"/>
    <mergeCell ref="E10:E11"/>
    <mergeCell ref="E14:E15"/>
    <mergeCell ref="E16:E17"/>
    <mergeCell ref="E18:E19"/>
    <mergeCell ref="E20:E21"/>
    <mergeCell ref="E22:E23"/>
    <mergeCell ref="E26:E27"/>
    <mergeCell ref="E30:E31"/>
    <mergeCell ref="E34:E37"/>
    <mergeCell ref="E38:E41"/>
    <mergeCell ref="E42:E45"/>
    <mergeCell ref="E46:E48"/>
    <mergeCell ref="E49:E51"/>
    <mergeCell ref="E52:E55"/>
    <mergeCell ref="E58:E60"/>
    <mergeCell ref="E61:E63"/>
    <mergeCell ref="E64:E66"/>
    <mergeCell ref="E67:E69"/>
    <mergeCell ref="E70:E71"/>
    <mergeCell ref="E72:E74"/>
    <mergeCell ref="E75:E77"/>
    <mergeCell ref="E78:E80"/>
    <mergeCell ref="E81:E84"/>
    <mergeCell ref="E85:E86"/>
    <mergeCell ref="E87:E88"/>
    <mergeCell ref="E89:E90"/>
    <mergeCell ref="E91:E93"/>
    <mergeCell ref="E94:E96"/>
    <mergeCell ref="E97:E99"/>
    <mergeCell ref="E100:E102"/>
    <mergeCell ref="E104:E106"/>
    <mergeCell ref="E107:E108"/>
    <mergeCell ref="E109:E110"/>
    <mergeCell ref="E111:E112"/>
    <mergeCell ref="E118:E119"/>
    <mergeCell ref="E127:E128"/>
    <mergeCell ref="E130:E131"/>
    <mergeCell ref="E132:E133"/>
    <mergeCell ref="E134:E135"/>
    <mergeCell ref="E138:E139"/>
    <mergeCell ref="E140:E141"/>
    <mergeCell ref="E144:E145"/>
    <mergeCell ref="E146:E147"/>
    <mergeCell ref="E148:E149"/>
    <mergeCell ref="F4:F6"/>
    <mergeCell ref="F7:F9"/>
    <mergeCell ref="F10:F11"/>
    <mergeCell ref="F14:F15"/>
    <mergeCell ref="F16:F17"/>
    <mergeCell ref="F18:F19"/>
    <mergeCell ref="F20:F21"/>
    <mergeCell ref="F22:F23"/>
    <mergeCell ref="F26:F27"/>
    <mergeCell ref="F30:F31"/>
    <mergeCell ref="F34:F37"/>
    <mergeCell ref="F38:F41"/>
    <mergeCell ref="F42:F45"/>
    <mergeCell ref="F46:F48"/>
    <mergeCell ref="F49:F51"/>
    <mergeCell ref="F52:F55"/>
    <mergeCell ref="F58:F60"/>
    <mergeCell ref="F61:F63"/>
    <mergeCell ref="F64:F66"/>
    <mergeCell ref="F67:F69"/>
    <mergeCell ref="F70:F71"/>
    <mergeCell ref="F72:F74"/>
    <mergeCell ref="F75:F77"/>
    <mergeCell ref="F78:F80"/>
    <mergeCell ref="F81:F84"/>
    <mergeCell ref="F85:F86"/>
    <mergeCell ref="F87:F88"/>
    <mergeCell ref="F89:F90"/>
    <mergeCell ref="F91:F93"/>
    <mergeCell ref="F94:F96"/>
    <mergeCell ref="F97:F99"/>
    <mergeCell ref="F100:F102"/>
    <mergeCell ref="F104:F106"/>
    <mergeCell ref="F107:F108"/>
    <mergeCell ref="F109:F110"/>
    <mergeCell ref="F111:F112"/>
    <mergeCell ref="F118:F119"/>
    <mergeCell ref="F127:F128"/>
    <mergeCell ref="F130:F131"/>
    <mergeCell ref="F132:F133"/>
    <mergeCell ref="F134:F135"/>
    <mergeCell ref="F138:F139"/>
    <mergeCell ref="F140:F141"/>
    <mergeCell ref="F144:F145"/>
    <mergeCell ref="F146:F147"/>
    <mergeCell ref="F148:F149"/>
    <mergeCell ref="G4:G6"/>
    <mergeCell ref="G7:G9"/>
    <mergeCell ref="G10:G11"/>
    <mergeCell ref="G14:G15"/>
    <mergeCell ref="G16:G17"/>
    <mergeCell ref="G18:G19"/>
    <mergeCell ref="G20:G21"/>
    <mergeCell ref="G22:G23"/>
    <mergeCell ref="G26:G27"/>
    <mergeCell ref="G30:G31"/>
    <mergeCell ref="G34:G37"/>
    <mergeCell ref="G38:G41"/>
    <mergeCell ref="G42:G45"/>
    <mergeCell ref="G46:G48"/>
    <mergeCell ref="G49:G51"/>
    <mergeCell ref="G52:G55"/>
    <mergeCell ref="G58:G60"/>
    <mergeCell ref="G61:G63"/>
    <mergeCell ref="G64:G66"/>
    <mergeCell ref="G67:G69"/>
    <mergeCell ref="G70:G71"/>
    <mergeCell ref="G72:G74"/>
    <mergeCell ref="G75:G77"/>
    <mergeCell ref="G78:G80"/>
    <mergeCell ref="G81:G84"/>
    <mergeCell ref="G85:G86"/>
    <mergeCell ref="G87:G88"/>
    <mergeCell ref="G89:G90"/>
    <mergeCell ref="G91:G93"/>
    <mergeCell ref="G94:G96"/>
    <mergeCell ref="G97:G99"/>
    <mergeCell ref="G100:G102"/>
    <mergeCell ref="G104:G106"/>
    <mergeCell ref="G107:G108"/>
    <mergeCell ref="G109:G110"/>
    <mergeCell ref="G111:G112"/>
    <mergeCell ref="G118:G119"/>
    <mergeCell ref="G127:G128"/>
    <mergeCell ref="G130:G131"/>
    <mergeCell ref="G132:G133"/>
    <mergeCell ref="G134:G135"/>
    <mergeCell ref="G138:G139"/>
    <mergeCell ref="G140:G141"/>
    <mergeCell ref="G144:G145"/>
    <mergeCell ref="G146:G147"/>
    <mergeCell ref="G148:G149"/>
    <mergeCell ref="S4:S6"/>
    <mergeCell ref="S7:S9"/>
    <mergeCell ref="S10:S11"/>
    <mergeCell ref="S14:S15"/>
    <mergeCell ref="S16:S17"/>
    <mergeCell ref="S18:S19"/>
    <mergeCell ref="S20:S21"/>
    <mergeCell ref="S22:S23"/>
    <mergeCell ref="S26:S27"/>
    <mergeCell ref="S30:S31"/>
    <mergeCell ref="S34:S37"/>
    <mergeCell ref="S38:S41"/>
    <mergeCell ref="S42:S45"/>
    <mergeCell ref="S46:S48"/>
    <mergeCell ref="S49:S51"/>
    <mergeCell ref="S52:S55"/>
    <mergeCell ref="S58:S60"/>
    <mergeCell ref="S61:S63"/>
    <mergeCell ref="S64:S66"/>
    <mergeCell ref="S67:S69"/>
    <mergeCell ref="S70:S71"/>
    <mergeCell ref="S72:S74"/>
    <mergeCell ref="S75:S77"/>
    <mergeCell ref="S78:S80"/>
    <mergeCell ref="S81:S84"/>
    <mergeCell ref="S85:S86"/>
    <mergeCell ref="S87:S88"/>
    <mergeCell ref="S89:S90"/>
    <mergeCell ref="S91:S93"/>
    <mergeCell ref="S94:S96"/>
    <mergeCell ref="S97:S99"/>
    <mergeCell ref="S100:S102"/>
    <mergeCell ref="S104:S106"/>
    <mergeCell ref="S107:S108"/>
    <mergeCell ref="S109:S110"/>
    <mergeCell ref="S111:S112"/>
    <mergeCell ref="S118:S119"/>
    <mergeCell ref="S127:S128"/>
    <mergeCell ref="S130:S131"/>
    <mergeCell ref="S132:S133"/>
    <mergeCell ref="S134:S135"/>
    <mergeCell ref="S138:S139"/>
    <mergeCell ref="S140:S141"/>
    <mergeCell ref="S144:S145"/>
    <mergeCell ref="S146:S147"/>
    <mergeCell ref="S148:S149"/>
    <mergeCell ref="T27:T28"/>
  </mergeCells>
  <pageMargins left="0" right="0" top="0.751388888888889" bottom="0.751388888888889" header="0.297916666666667" footer="0.2979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6"/>
  <sheetViews>
    <sheetView topLeftCell="A2" workbookViewId="0">
      <selection activeCell="H8" sqref="H8:J8"/>
    </sheetView>
  </sheetViews>
  <sheetFormatPr defaultColWidth="9.64285714285714" defaultRowHeight="13.5"/>
  <cols>
    <col min="1" max="1" width="1.4375" customWidth="1"/>
    <col min="2" max="2" width="17.3303571428571" customWidth="1"/>
    <col min="6" max="6" width="14.8928571428571" customWidth="1"/>
    <col min="7" max="7" width="14.7767857142857" customWidth="1"/>
    <col min="10" max="10" width="13" customWidth="1"/>
    <col min="11" max="11" width="15.1071428571429" customWidth="1"/>
  </cols>
  <sheetData>
    <row r="1" ht="72" customHeight="1" spans="1:12">
      <c r="A1" s="2"/>
      <c r="B1" s="3" t="s">
        <v>309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ht="18" customHeight="1" spans="1:1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idden="1"/>
    <row r="4" ht="48" customHeight="1" spans="1:12">
      <c r="A4" s="2"/>
      <c r="B4" s="1" t="s">
        <v>310</v>
      </c>
      <c r="C4" s="4" t="s">
        <v>311</v>
      </c>
      <c r="D4" s="4"/>
      <c r="E4" s="4"/>
      <c r="F4" s="4"/>
      <c r="H4" s="10" t="s">
        <v>312</v>
      </c>
      <c r="I4" s="10"/>
      <c r="J4" s="10"/>
      <c r="K4" s="11"/>
      <c r="L4" s="12" t="s">
        <v>24</v>
      </c>
    </row>
    <row r="5" ht="22.5" spans="1:11">
      <c r="A5" s="2"/>
      <c r="B5" s="1"/>
      <c r="C5" s="5"/>
      <c r="H5" s="1"/>
      <c r="I5" s="1"/>
      <c r="J5" s="1"/>
      <c r="K5" s="13"/>
    </row>
    <row r="6" ht="48" customHeight="1" spans="1:12">
      <c r="A6" s="2"/>
      <c r="B6" s="1" t="s">
        <v>313</v>
      </c>
      <c r="C6" s="6" t="s">
        <v>314</v>
      </c>
      <c r="D6" s="6"/>
      <c r="E6" s="6"/>
      <c r="F6" s="6"/>
      <c r="H6" s="10" t="s">
        <v>315</v>
      </c>
      <c r="I6" s="10"/>
      <c r="J6" s="10"/>
      <c r="K6" s="11">
        <f>清单!G156</f>
        <v>0</v>
      </c>
      <c r="L6" s="12" t="s">
        <v>24</v>
      </c>
    </row>
    <row r="7" ht="22.5" spans="1:12">
      <c r="A7" s="2"/>
      <c r="B7" s="1"/>
      <c r="C7" s="5"/>
      <c r="H7" s="1"/>
      <c r="I7" s="1"/>
      <c r="J7" s="14"/>
      <c r="K7" s="14"/>
      <c r="L7" s="14"/>
    </row>
    <row r="8" ht="48" customHeight="1" spans="1:12">
      <c r="A8" s="2"/>
      <c r="B8" s="1" t="s">
        <v>316</v>
      </c>
      <c r="C8" s="7" t="s">
        <v>317</v>
      </c>
      <c r="D8" s="7"/>
      <c r="E8" s="7"/>
      <c r="F8" s="7"/>
      <c r="H8" s="10"/>
      <c r="I8" s="10"/>
      <c r="J8" s="10"/>
      <c r="K8" s="15"/>
      <c r="L8" s="12"/>
    </row>
    <row r="9" ht="22.5" spans="1:12">
      <c r="A9" s="2"/>
      <c r="B9" s="1"/>
      <c r="J9" s="16"/>
      <c r="K9" s="16"/>
      <c r="L9" s="16"/>
    </row>
    <row r="10" ht="22.5" spans="1:2">
      <c r="A10" s="2"/>
      <c r="B10" s="1"/>
    </row>
    <row r="11" s="1" customFormat="1" ht="22.5" spans="2:12">
      <c r="B11" s="1" t="s">
        <v>318</v>
      </c>
      <c r="C11" s="1" t="s">
        <v>319</v>
      </c>
      <c r="L11" s="17"/>
    </row>
    <row r="12" s="1" customFormat="1" ht="22.5" spans="11:12">
      <c r="K12" s="17"/>
      <c r="L12" s="17"/>
    </row>
    <row r="13" s="1" customFormat="1" ht="22.5" spans="2:12">
      <c r="B13" s="1" t="s">
        <v>320</v>
      </c>
      <c r="L13" s="17"/>
    </row>
    <row r="15" ht="20.25" spans="2:12">
      <c r="B15" s="8" t="s">
        <v>321</v>
      </c>
      <c r="C15" s="8"/>
      <c r="D15" s="8"/>
      <c r="E15" s="8"/>
      <c r="F15" s="8"/>
      <c r="G15" s="8"/>
      <c r="H15" s="8"/>
      <c r="I15" s="8"/>
      <c r="J15" s="8"/>
      <c r="K15" s="8"/>
      <c r="L15" s="8"/>
    </row>
    <row r="16" ht="22.5" spans="1:12">
      <c r="A16" s="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</sheetData>
  <mergeCells count="11">
    <mergeCell ref="B1:L1"/>
    <mergeCell ref="C4:F4"/>
    <mergeCell ref="H4:J4"/>
    <mergeCell ref="C6:F6"/>
    <mergeCell ref="H6:J6"/>
    <mergeCell ref="J7:L7"/>
    <mergeCell ref="C8:F8"/>
    <mergeCell ref="H8:J8"/>
    <mergeCell ref="J9:L9"/>
    <mergeCell ref="B15:L15"/>
    <mergeCell ref="B16:L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清单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wsd</dc:creator>
  <cp:lastModifiedBy>iPhone (126)</cp:lastModifiedBy>
  <dcterms:created xsi:type="dcterms:W3CDTF">2021-01-25T09:18:00Z</dcterms:created>
  <cp:lastPrinted>2021-10-08T10:16:00Z</cp:lastPrinted>
  <dcterms:modified xsi:type="dcterms:W3CDTF">2026-02-06T09:54:00Z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2052-12.40.0</vt:lpwstr>
  </property>
  <property fmtid="{D5CDD505-2E9C-101B-9397-08002B2CF9AE}" pid="3" name="ICV">
    <vt:lpwstr>AD326703289846D3A7145CDD257322FA_13</vt:lpwstr>
  </property>
  <property fmtid="{D5CDD505-2E9C-101B-9397-08002B2CF9AE}" pid="4" name="CalculationRule">
    <vt:i4>0</vt:i4>
  </property>
</Properties>
</file>